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L15" i="3" l="1"/>
  <c r="N73" i="3"/>
  <c r="M73" i="3"/>
  <c r="N46" i="3"/>
  <c r="M46" i="3"/>
  <c r="H9" i="4" l="1"/>
  <c r="K68" i="3" l="1"/>
  <c r="K67" i="3"/>
  <c r="K66" i="3"/>
  <c r="K39" i="3"/>
  <c r="O15" i="3" l="1"/>
  <c r="O17" i="3"/>
  <c r="L17" i="3"/>
  <c r="BS101" i="3" l="1"/>
  <c r="BR101" i="3"/>
  <c r="BU101" i="3" s="1"/>
  <c r="BZ118" i="3"/>
  <c r="BV118" i="3"/>
  <c r="CB116" i="3"/>
  <c r="CB118" i="3" s="1"/>
  <c r="CA116" i="3"/>
  <c r="CA118" i="3" s="1"/>
  <c r="BZ116" i="3"/>
  <c r="BX116" i="3"/>
  <c r="BX118" i="3" s="1"/>
  <c r="BW116" i="3"/>
  <c r="BW118" i="3" s="1"/>
  <c r="BV116" i="3"/>
  <c r="BT116" i="3"/>
  <c r="CC113" i="3"/>
  <c r="BY113" i="3"/>
  <c r="BR113" i="3"/>
  <c r="BN113" i="3"/>
  <c r="CE113" i="3" s="1"/>
  <c r="BM113" i="3"/>
  <c r="BL113" i="3"/>
  <c r="CD113" i="3" s="1"/>
  <c r="CG113" i="3" s="1"/>
  <c r="CF110" i="3"/>
  <c r="CF116" i="3" s="1"/>
  <c r="CF118" i="3" s="1"/>
  <c r="CC110" i="3"/>
  <c r="BY110" i="3"/>
  <c r="BN110" i="3"/>
  <c r="CE110" i="3" s="1"/>
  <c r="BN108" i="3"/>
  <c r="BL108" i="3"/>
  <c r="BL110" i="3" s="1"/>
  <c r="CC107" i="3"/>
  <c r="BY107" i="3"/>
  <c r="BR107" i="3"/>
  <c r="BN107" i="3"/>
  <c r="CE107" i="3" s="1"/>
  <c r="BM107" i="3"/>
  <c r="BL107" i="3"/>
  <c r="BL116" i="3" s="1"/>
  <c r="CE104" i="3"/>
  <c r="CE116" i="3" s="1"/>
  <c r="CE118" i="3" s="1"/>
  <c r="CC104" i="3"/>
  <c r="CC116" i="3" s="1"/>
  <c r="BY104" i="3"/>
  <c r="BY116" i="3" s="1"/>
  <c r="BN104" i="3"/>
  <c r="BS104" i="3" s="1"/>
  <c r="BM104" i="3"/>
  <c r="BL104" i="3"/>
  <c r="CD101" i="3"/>
  <c r="CD104" i="3" s="1"/>
  <c r="CC101" i="3"/>
  <c r="CC118" i="3" s="1"/>
  <c r="BY101" i="3"/>
  <c r="BN95" i="3"/>
  <c r="BL95" i="3"/>
  <c r="BN93" i="3"/>
  <c r="BM93" i="3"/>
  <c r="BL93" i="3"/>
  <c r="CB92" i="3"/>
  <c r="BX92" i="3"/>
  <c r="BW92" i="3"/>
  <c r="BV92" i="3"/>
  <c r="BU92" i="3"/>
  <c r="CB89" i="3"/>
  <c r="BR104" i="3" l="1"/>
  <c r="BU104" i="3" s="1"/>
  <c r="BU113" i="3"/>
  <c r="CG104" i="3"/>
  <c r="BY118" i="3"/>
  <c r="BR110" i="3"/>
  <c r="CD110" i="3"/>
  <c r="CG110" i="3" s="1"/>
  <c r="CG101" i="3"/>
  <c r="BS107" i="3"/>
  <c r="BU107" i="3" s="1"/>
  <c r="CD107" i="3"/>
  <c r="CG107" i="3" s="1"/>
  <c r="BS110" i="3"/>
  <c r="BS116" i="3" s="1"/>
  <c r="BS118" i="3" s="1"/>
  <c r="BS113" i="3"/>
  <c r="BN116" i="3"/>
  <c r="G21" i="2"/>
  <c r="CD116" i="3" l="1"/>
  <c r="CD118" i="3" s="1"/>
  <c r="BU110" i="3"/>
  <c r="BU116" i="3" s="1"/>
  <c r="BU118" i="3" s="1"/>
  <c r="BR116" i="3"/>
  <c r="BR118" i="3" s="1"/>
  <c r="CG116" i="3"/>
  <c r="CG118" i="3" s="1"/>
  <c r="I15" i="3"/>
  <c r="P15" i="3" l="1"/>
  <c r="R15" i="3"/>
  <c r="M19" i="3" l="1"/>
  <c r="O16" i="3"/>
  <c r="P16" i="3" s="1"/>
  <c r="L16" i="3"/>
  <c r="I16" i="3"/>
  <c r="Q16" i="3" l="1"/>
  <c r="R16" i="3"/>
  <c r="P17" i="3"/>
  <c r="I17" i="3"/>
  <c r="R17" i="3" l="1"/>
  <c r="Q17" i="3"/>
  <c r="L82" i="3" l="1"/>
  <c r="L79" i="3"/>
  <c r="L76" i="3"/>
  <c r="L73" i="3"/>
  <c r="K81" i="3"/>
  <c r="K80" i="3"/>
  <c r="K78" i="3"/>
  <c r="K77" i="3"/>
  <c r="K75" i="3"/>
  <c r="K74" i="3"/>
  <c r="K69" i="3"/>
  <c r="K42" i="3"/>
  <c r="K47" i="3"/>
  <c r="K48" i="3"/>
  <c r="K50" i="3"/>
  <c r="K51" i="3"/>
  <c r="K53" i="3"/>
  <c r="K54" i="3"/>
  <c r="L55" i="3"/>
  <c r="L52" i="3"/>
  <c r="L49" i="3"/>
  <c r="L46" i="3"/>
  <c r="H14" i="3"/>
  <c r="H13" i="3"/>
  <c r="H12" i="3"/>
  <c r="H11" i="3"/>
  <c r="K49" i="3"/>
  <c r="K13" i="3" s="1"/>
  <c r="L13" i="3" s="1"/>
  <c r="CB73" i="3"/>
  <c r="CB75" i="3" s="1"/>
  <c r="CA73" i="3"/>
  <c r="CA75" i="3" s="1"/>
  <c r="BZ73" i="3"/>
  <c r="BZ75" i="3" s="1"/>
  <c r="BX73" i="3"/>
  <c r="BX75" i="3" s="1"/>
  <c r="BW73" i="3"/>
  <c r="BW75" i="3" s="1"/>
  <c r="BV73" i="3"/>
  <c r="BV75" i="3" s="1"/>
  <c r="BT73" i="3"/>
  <c r="CC70" i="3"/>
  <c r="BY70" i="3"/>
  <c r="BN70" i="3"/>
  <c r="CE70" i="3" s="1"/>
  <c r="BM70" i="3"/>
  <c r="BL70" i="3"/>
  <c r="BR70" i="3" s="1"/>
  <c r="CF67" i="3"/>
  <c r="CF73" i="3" s="1"/>
  <c r="CF75" i="3" s="1"/>
  <c r="CC67" i="3"/>
  <c r="BY67" i="3"/>
  <c r="BN65" i="3"/>
  <c r="BN67" i="3" s="1"/>
  <c r="CE67" i="3" s="1"/>
  <c r="BL65" i="3"/>
  <c r="BL67" i="3" s="1"/>
  <c r="CC64" i="3"/>
  <c r="BY64" i="3"/>
  <c r="BN64" i="3"/>
  <c r="CE64" i="3" s="1"/>
  <c r="BM64" i="3"/>
  <c r="BL64" i="3"/>
  <c r="BR64" i="3" s="1"/>
  <c r="CC61" i="3"/>
  <c r="BY61" i="3"/>
  <c r="BN61" i="3"/>
  <c r="BS61" i="3" s="1"/>
  <c r="BM61" i="3"/>
  <c r="BL61" i="3"/>
  <c r="BR61" i="3" s="1"/>
  <c r="CD58" i="3"/>
  <c r="CC58" i="3"/>
  <c r="BY58" i="3"/>
  <c r="BU58" i="3"/>
  <c r="BN50" i="3"/>
  <c r="BN52" i="3" s="1"/>
  <c r="BM50" i="3"/>
  <c r="BL50" i="3"/>
  <c r="BL52" i="3" s="1"/>
  <c r="BX49" i="3"/>
  <c r="BW49" i="3"/>
  <c r="BV49" i="3"/>
  <c r="BU49" i="3"/>
  <c r="CB46" i="3"/>
  <c r="CB49" i="3" s="1"/>
  <c r="AY43" i="3"/>
  <c r="AN43" i="3"/>
  <c r="AN45" i="3" s="1"/>
  <c r="N57" i="3" l="1"/>
  <c r="N59" i="3" s="1"/>
  <c r="K73" i="3"/>
  <c r="N11" i="3" s="1"/>
  <c r="BY73" i="3"/>
  <c r="BY75" i="3" s="1"/>
  <c r="M57" i="3"/>
  <c r="M59" i="3" s="1"/>
  <c r="K76" i="3"/>
  <c r="N13" i="3" s="1"/>
  <c r="K46" i="3"/>
  <c r="K11" i="3" s="1"/>
  <c r="CC73" i="3"/>
  <c r="CC75" i="3"/>
  <c r="CE61" i="3"/>
  <c r="CE73" i="3" s="1"/>
  <c r="CE75" i="3" s="1"/>
  <c r="K52" i="3"/>
  <c r="K12" i="3" s="1"/>
  <c r="L12" i="3" s="1"/>
  <c r="L57" i="3"/>
  <c r="L59" i="3" s="1"/>
  <c r="CD61" i="3"/>
  <c r="CD64" i="3"/>
  <c r="CG64" i="3" s="1"/>
  <c r="CD70" i="3"/>
  <c r="CG70" i="3" s="1"/>
  <c r="K55" i="3"/>
  <c r="K14" i="3" s="1"/>
  <c r="L14" i="3" s="1"/>
  <c r="K82" i="3"/>
  <c r="N14" i="3" s="1"/>
  <c r="N84" i="3"/>
  <c r="N85" i="3" s="1"/>
  <c r="L84" i="3"/>
  <c r="L85" i="3" s="1"/>
  <c r="K79" i="3"/>
  <c r="N12" i="3" s="1"/>
  <c r="M84" i="3"/>
  <c r="M85" i="3" s="1"/>
  <c r="BU61" i="3"/>
  <c r="CD67" i="3"/>
  <c r="CG67" i="3" s="1"/>
  <c r="BL73" i="3"/>
  <c r="BR67" i="3"/>
  <c r="BR73" i="3" s="1"/>
  <c r="BR75" i="3" s="1"/>
  <c r="CG58" i="3"/>
  <c r="BS64" i="3"/>
  <c r="BS67" i="3"/>
  <c r="BS70" i="3"/>
  <c r="BU70" i="3" s="1"/>
  <c r="BN73" i="3"/>
  <c r="N19" i="3" l="1"/>
  <c r="K19" i="3"/>
  <c r="BU67" i="3"/>
  <c r="CG61" i="3"/>
  <c r="CG73" i="3" s="1"/>
  <c r="CG75" i="3" s="1"/>
  <c r="BS73" i="3"/>
  <c r="BS75" i="3" s="1"/>
  <c r="K84" i="3"/>
  <c r="K85" i="3" s="1"/>
  <c r="K57" i="3"/>
  <c r="K59" i="3" s="1"/>
  <c r="BU64" i="3"/>
  <c r="BU73" i="3" s="1"/>
  <c r="BU75" i="3" s="1"/>
  <c r="CD73" i="3"/>
  <c r="CD75" i="3" s="1"/>
  <c r="I34" i="4" l="1"/>
  <c r="I33" i="4"/>
  <c r="I32" i="4"/>
  <c r="I31" i="4"/>
  <c r="I15" i="4"/>
  <c r="I14" i="4"/>
  <c r="I13" i="4"/>
  <c r="I12" i="4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H25" i="2"/>
  <c r="G25" i="2"/>
  <c r="F25" i="2"/>
  <c r="E25" i="2"/>
  <c r="D25" i="2"/>
  <c r="C25" i="2"/>
  <c r="I24" i="2"/>
  <c r="I23" i="2"/>
  <c r="I22" i="2"/>
  <c r="H21" i="2"/>
  <c r="G26" i="2"/>
  <c r="F21" i="2"/>
  <c r="E21" i="2"/>
  <c r="D21" i="2"/>
  <c r="C21" i="2"/>
  <c r="C26" i="2" s="1"/>
  <c r="I20" i="2"/>
  <c r="I19" i="2"/>
  <c r="I18" i="2"/>
  <c r="H17" i="2"/>
  <c r="G17" i="2"/>
  <c r="F17" i="2"/>
  <c r="E17" i="2"/>
  <c r="D17" i="2"/>
  <c r="C17" i="2"/>
  <c r="I16" i="2"/>
  <c r="I15" i="2"/>
  <c r="I14" i="2"/>
  <c r="I13" i="2"/>
  <c r="I12" i="2"/>
  <c r="I11" i="2"/>
  <c r="I10" i="2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I16" i="1"/>
  <c r="I15" i="1"/>
  <c r="I14" i="1"/>
  <c r="I13" i="1"/>
  <c r="I12" i="1"/>
  <c r="L19" i="3" l="1"/>
  <c r="I25" i="2"/>
  <c r="E26" i="2"/>
  <c r="E28" i="2" s="1"/>
  <c r="P13" i="3"/>
  <c r="I18" i="1"/>
  <c r="Q13" i="3"/>
  <c r="Q14" i="3"/>
  <c r="D26" i="2"/>
  <c r="D28" i="2" s="1"/>
  <c r="H26" i="2"/>
  <c r="H28" i="2" s="1"/>
  <c r="R11" i="3"/>
  <c r="R13" i="3"/>
  <c r="I17" i="2"/>
  <c r="I21" i="2"/>
  <c r="P11" i="3"/>
  <c r="P12" i="3"/>
  <c r="R14" i="3"/>
  <c r="C28" i="2"/>
  <c r="G28" i="2"/>
  <c r="F26" i="2"/>
  <c r="F28" i="2" s="1"/>
  <c r="Q11" i="3"/>
  <c r="R12" i="3"/>
  <c r="P14" i="3"/>
  <c r="Q12" i="3"/>
  <c r="I26" i="2" l="1"/>
  <c r="I28" i="2" s="1"/>
</calcChain>
</file>

<file path=xl/sharedStrings.xml><?xml version="1.0" encoding="utf-8"?>
<sst xmlns="http://schemas.openxmlformats.org/spreadsheetml/2006/main" count="443" uniqueCount="229">
  <si>
    <t>ANEKSI nr.1 "Raporti i Shpenzimeve sipas Programeve"</t>
  </si>
  <si>
    <t>ne 000/leke</t>
  </si>
  <si>
    <t>Emri i Grupit</t>
  </si>
  <si>
    <t>MINISTRIA E DREJTESISE</t>
  </si>
  <si>
    <t>Kodi i Grupit</t>
  </si>
  <si>
    <t>Programet</t>
  </si>
  <si>
    <t>Shpenzimet e Ministrisë/Institucionit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</si>
  <si>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</si>
  <si>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</si>
  <si>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</si>
  <si>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</si>
  <si>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</si>
  <si>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</si>
  <si>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</si>
  <si>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</si>
  <si>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</si>
  <si>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</si>
  <si>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</si>
  <si>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Titulli</t>
  </si>
  <si>
    <t>Emertimi</t>
  </si>
  <si>
    <t>i
Periudhes/progresiv</t>
  </si>
  <si>
    <t>01120</t>
  </si>
  <si>
    <t>Qendra e Botimeve Zyrtare</t>
  </si>
  <si>
    <t>Totali i Shpenzimeve te Ministrise</t>
  </si>
  <si>
    <t xml:space="preserve">Shpenzime nga te Ardhurat Jashte limitit </t>
  </si>
  <si>
    <t xml:space="preserve">Totali </t>
  </si>
  <si>
    <t>Sekretari i Përgjithshëm</t>
  </si>
  <si>
    <t>Emri</t>
  </si>
  <si>
    <t>Firma</t>
  </si>
  <si>
    <t>Data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</si>
  <si>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</si>
  <si>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</si>
  <si>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</si>
  <si>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</si>
  <si>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</si>
  <si>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</si>
  <si>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</si>
  <si>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</si>
  <si>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</si>
  <si>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</si>
  <si>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</si>
  <si>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</si>
  <si>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</si>
  <si>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</si>
  <si>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</si>
  <si>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</si>
  <si>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</si>
  <si>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</si>
  <si>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</si>
  <si>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</si>
  <si>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</si>
  <si>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</si>
  <si>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</si>
  <si>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</si>
  <si>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</si>
  <si>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</si>
  <si>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Drejtuesi i Ekipit Menaxhues të Programit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</si>
  <si>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</si>
  <si>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</si>
  <si>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</si>
  <si>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</si>
  <si>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</si>
  <si>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</si>
  <si>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</si>
  <si>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</si>
  <si>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</si>
  <si>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</si>
  <si>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</si>
  <si>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</si>
  <si>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</si>
  <si>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</si>
  <si>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</si>
  <si>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</si>
  <si>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</si>
  <si>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</si>
  <si>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</si>
  <si>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</si>
  <si>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</si>
  <si>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</si>
  <si>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</si>
  <si>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</si>
  <si>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</si>
  <si>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</si>
  <si>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</si>
  <si>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</si>
  <si>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</si>
  <si>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</si>
  <si>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</si>
  <si>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</si>
  <si>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</si>
  <si>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</si>
  <si>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</si>
  <si>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</si>
  <si>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</si>
  <si>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</si>
  <si>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</si>
  <si>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</si>
  <si>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</si>
  <si>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</si>
  <si>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</si>
  <si>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</si>
  <si>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</si>
  <si>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</si>
  <si>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………</t>
  </si>
  <si>
    <t>Objektivi 1.3</t>
  </si>
  <si>
    <t xml:space="preserve"> ………..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</si>
  <si>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</si>
  <si>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Shembull</t>
  </si>
  <si>
    <t>Programi: Arsimi Baze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</si>
  <si>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</si>
  <si>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Objektivat e politikës*:</t>
  </si>
  <si>
    <t>Treguesit e performancës/Produktet:</t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</si>
  <si>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</si>
  <si>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</si>
  <si>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</si>
  <si>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</si>
  <si>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</si>
  <si>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t>Permiresimi i cilesise se mesimdhenies ne sistemin arsimor parauniversitar</t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</si>
  <si>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</si>
  <si>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Raporti nxenes per klase</t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</si>
  <si>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</si>
  <si>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Mesues te trainuar</t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</si>
  <si>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</si>
  <si>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E</t>
  </si>
  <si>
    <t>Siperfaqe ambientesh te rikonstruktuara (ne m2)</t>
  </si>
  <si>
    <t>F</t>
  </si>
  <si>
    <t>Kurrikula te permiresuara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</si>
  <si>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</si>
  <si>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</si>
  <si>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</si>
  <si>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</si>
  <si>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</si>
  <si>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</si>
  <si>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</si>
  <si>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</si>
  <si>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</si>
  <si>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</si>
  <si>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</si>
  <si>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</si>
  <si>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</si>
  <si>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</si>
  <si>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</si>
  <si>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</si>
  <si>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</si>
  <si>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</si>
  <si>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</si>
  <si>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</si>
  <si>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</si>
  <si>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</si>
  <si>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</si>
  <si>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</si>
  <si>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</si>
  <si>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</si>
  <si>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</si>
  <si>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</si>
  <si>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</si>
  <si>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</si>
  <si>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i
vitit paraardhes
Viti 2017</t>
  </si>
  <si>
    <t>Viti  2017</t>
  </si>
  <si>
    <t>Plan Fillestar Viti 2018</t>
  </si>
  <si>
    <t>i vitit paraardhes
Viti 2017</t>
  </si>
  <si>
    <t>Plan                   Viti 2017</t>
  </si>
  <si>
    <t>M140049</t>
  </si>
  <si>
    <t>Ndertimi I arkives elektronike te QBZ</t>
  </si>
  <si>
    <t>Buxheti 2018</t>
  </si>
  <si>
    <t>Plani i buxhetit viti  2018</t>
  </si>
  <si>
    <t>Blerje pajisje kompjuterike</t>
  </si>
  <si>
    <t>Blerje pajisje zyre</t>
  </si>
  <si>
    <t>M140058</t>
  </si>
  <si>
    <t>PAGA</t>
  </si>
  <si>
    <t>SIGURIME</t>
  </si>
  <si>
    <t>fletore</t>
  </si>
  <si>
    <t>botime</t>
  </si>
  <si>
    <t>buletin</t>
  </si>
  <si>
    <t>arkiva</t>
  </si>
  <si>
    <t>totali</t>
  </si>
  <si>
    <t>drejtor</t>
  </si>
  <si>
    <t>kryeredaktor</t>
  </si>
  <si>
    <t>financa</t>
  </si>
  <si>
    <t>shtypshkronja</t>
  </si>
  <si>
    <t>paga</t>
  </si>
  <si>
    <t>sigurime</t>
  </si>
  <si>
    <t>sig</t>
  </si>
  <si>
    <t>Botim elektronik</t>
  </si>
  <si>
    <t>botim elektronik</t>
  </si>
  <si>
    <t>shp</t>
  </si>
  <si>
    <t>total</t>
  </si>
  <si>
    <t>PLANIFIKIMI I FONDEVE SIPAS PRODUKETEVE</t>
  </si>
  <si>
    <t>REALIZIMI SIPAS PRODUKETEVE</t>
  </si>
  <si>
    <t>Periudha e Raportimit:  VITI 2018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</si>
  <si>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</si>
  <si>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</si>
  <si>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</si>
  <si>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</si>
  <si>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</si>
  <si>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</si>
  <si>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</si>
  <si>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</si>
  <si>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</si>
  <si>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</si>
  <si>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</si>
  <si>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</si>
  <si>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</si>
  <si>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</si>
  <si>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RISHIKIMI I BUXHETIT PAS AKTIT NORMATIV</t>
  </si>
  <si>
    <t>Plan i Rishikuar Viti_2018</t>
  </si>
  <si>
    <t xml:space="preserve"> Plani i Periudhes/progresiv katermujori </t>
  </si>
  <si>
    <t>Plan i Rishikuar Viti 2018</t>
  </si>
  <si>
    <t xml:space="preserve">Prane QBZ ka qene me I madh numri I akteve te ardhura per botimne Buletin </t>
  </si>
  <si>
    <t>Realizuar kontrata, diferenca fond I lire</t>
  </si>
  <si>
    <t xml:space="preserve">Ne proces prokurimi nga QBZ, </t>
  </si>
  <si>
    <t xml:space="preserve">Prane QBZ ka qene me I vogel numri I akteve te ardhura per botim  </t>
  </si>
  <si>
    <t xml:space="preserve">Prane QBZ ka qene me I vogel numri I akteve te ardhura per botim ne fletore zyrtare  </t>
  </si>
  <si>
    <t>Realizuar, diferenca fond I lire</t>
  </si>
  <si>
    <t>AUREL LAMÇE</t>
  </si>
  <si>
    <t xml:space="preserve"> Plani i Periudhes/progresiv 4 mujori i III</t>
  </si>
  <si>
    <t>Realizuar, sipas termave te parashikuara ne kontrate</t>
  </si>
  <si>
    <t>ETLEVA HAXHIA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</si>
  <si>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III, progresiv )</t>
    </r>
  </si>
  <si>
    <t xml:space="preserve">Jane realizuar botimi I 20 titujve , sipas nevojave per botimeve te perditesuara </t>
  </si>
  <si>
    <t>Eshte realizuar pjesa e kontraktuar per vitin 2018 .</t>
  </si>
  <si>
    <t>Botimi në kohën më të shkurtër i akteve juridike , duke rritur aksesin e publikut në ligj dhe transparencë të normave juridike për një zbatim sa më të mirë të tyre.</t>
  </si>
  <si>
    <t>i
Periudhes/progresiv 4 mujori III</t>
  </si>
  <si>
    <t>Emri           ETLEVA HAXHIA</t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</si>
  <si>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III progresiv)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</si>
  <si>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</si>
  <si>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III progresiv</t>
    </r>
    <r>
      <rPr>
        <b/>
        <sz val="8"/>
        <rFont val="Arial"/>
        <family val="2"/>
        <charset val="238"/>
      </rPr>
      <t>)</t>
    </r>
  </si>
  <si>
    <t>Niveli i rishikuar ne vitin korent (katermujori III)</t>
  </si>
  <si>
    <t>Niveli faktik ne fund te katermujorit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</si>
</sst>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b/>
      <u/>
      <sz val="1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sz val="5"/>
      <color theme="1"/>
      <name val="Calibri Light"/>
      <family val="2"/>
    </font>
    <font>
      <sz val="10"/>
      <color theme="1"/>
      <name val="Calibri Light"/>
      <family val="2"/>
    </font>
    <font>
      <sz val="12"/>
      <name val="Calibri Light"/>
      <family val="2"/>
    </font>
    <font>
      <b/>
      <sz val="12"/>
      <color theme="1"/>
      <name val="Calibri Light"/>
      <family val="2"/>
    </font>
    <font>
      <b/>
      <sz val="16"/>
      <color theme="1"/>
      <name val="Calibri"/>
      <family val="2"/>
      <scheme val="minor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4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 vertical="top" wrapText="1"/>
    </xf>
    <xf numFmtId="164" fontId="8" fillId="3" borderId="27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164" fontId="12" fillId="3" borderId="31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8" fillId="0" borderId="14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4" xfId="0" applyFont="1" applyFill="1" applyBorder="1" applyAlignment="1"/>
    <xf numFmtId="49" fontId="17" fillId="2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/>
    <xf numFmtId="0" fontId="6" fillId="0" borderId="18" xfId="0" applyFont="1" applyFill="1" applyBorder="1" applyAlignment="1"/>
    <xf numFmtId="49" fontId="18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164" fontId="17" fillId="3" borderId="3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164" fontId="19" fillId="3" borderId="8" xfId="0" applyNumberFormat="1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wrapText="1"/>
    </xf>
    <xf numFmtId="164" fontId="20" fillId="3" borderId="8" xfId="0" applyNumberFormat="1" applyFont="1" applyFill="1" applyBorder="1" applyAlignment="1">
      <alignment horizontal="center"/>
    </xf>
    <xf numFmtId="164" fontId="11" fillId="3" borderId="37" xfId="0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164" fontId="10" fillId="5" borderId="43" xfId="0" applyNumberFormat="1" applyFont="1" applyFill="1" applyBorder="1" applyAlignment="1">
      <alignment horizontal="center"/>
    </xf>
    <xf numFmtId="164" fontId="10" fillId="5" borderId="4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2" borderId="8" xfId="0" applyFont="1" applyFill="1" applyBorder="1"/>
    <xf numFmtId="0" fontId="17" fillId="0" borderId="0" xfId="0" applyFont="1" applyBorder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40" xfId="0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164" fontId="6" fillId="2" borderId="59" xfId="0" applyNumberFormat="1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/>
    <xf numFmtId="0" fontId="43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8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73" xfId="0" applyFont="1" applyFill="1" applyBorder="1" applyAlignment="1">
      <alignment horizontal="center" vertical="center" wrapText="1"/>
    </xf>
    <xf numFmtId="0" fontId="36" fillId="6" borderId="62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0" fillId="6" borderId="77" xfId="0" applyFill="1" applyBorder="1" applyAlignment="1">
      <alignment horizontal="center" vertical="center" wrapText="1"/>
    </xf>
    <xf numFmtId="0" fontId="16" fillId="0" borderId="78" xfId="0" applyFont="1" applyBorder="1" applyAlignment="1">
      <alignment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9" fontId="44" fillId="6" borderId="57" xfId="0" applyNumberFormat="1" applyFont="1" applyFill="1" applyBorder="1" applyAlignment="1">
      <alignment horizontal="left" vertical="center" wrapText="1"/>
    </xf>
    <xf numFmtId="0" fontId="30" fillId="6" borderId="80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0" fontId="37" fillId="6" borderId="8" xfId="0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 wrapText="1"/>
    </xf>
    <xf numFmtId="9" fontId="16" fillId="6" borderId="57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40" fillId="6" borderId="8" xfId="0" applyFont="1" applyFill="1" applyBorder="1" applyAlignment="1">
      <alignment horizontal="center" vertical="center" wrapText="1"/>
    </xf>
    <xf numFmtId="9" fontId="0" fillId="6" borderId="8" xfId="0" applyNumberForma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0" fillId="6" borderId="8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vertical="center" wrapText="1"/>
    </xf>
    <xf numFmtId="0" fontId="0" fillId="6" borderId="59" xfId="0" applyFill="1" applyBorder="1" applyAlignment="1">
      <alignment horizontal="center" vertical="center" wrapText="1"/>
    </xf>
    <xf numFmtId="9" fontId="16" fillId="6" borderId="83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86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33" fillId="2" borderId="90" xfId="2" applyFill="1" applyBorder="1" applyAlignment="1">
      <alignment vertical="center" wrapText="1"/>
    </xf>
    <xf numFmtId="0" fontId="33" fillId="2" borderId="39" xfId="2" applyFill="1" applyBorder="1" applyAlignment="1">
      <alignment vertical="center" wrapText="1"/>
    </xf>
    <xf numFmtId="0" fontId="33" fillId="2" borderId="23" xfId="2" applyFill="1" applyBorder="1" applyAlignment="1">
      <alignment vertical="center" wrapText="1"/>
    </xf>
    <xf numFmtId="0" fontId="33" fillId="2" borderId="4" xfId="2" applyFill="1" applyBorder="1" applyAlignment="1">
      <alignment vertical="center" wrapText="1"/>
    </xf>
    <xf numFmtId="0" fontId="33" fillId="2" borderId="8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67" xfId="2" applyFill="1" applyBorder="1" applyAlignment="1">
      <alignment vertical="center" wrapText="1"/>
    </xf>
    <xf numFmtId="0" fontId="33" fillId="2" borderId="43" xfId="2" applyFill="1" applyBorder="1" applyAlignment="1">
      <alignment vertical="center" wrapText="1"/>
    </xf>
    <xf numFmtId="0" fontId="33" fillId="2" borderId="44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7" fillId="2" borderId="8" xfId="0" applyFont="1" applyFill="1" applyBorder="1" applyAlignment="1">
      <alignment horizontal="left" vertical="center" wrapText="1"/>
    </xf>
    <xf numFmtId="0" fontId="49" fillId="0" borderId="48" xfId="0" applyFont="1" applyBorder="1" applyAlignment="1">
      <alignment horizontal="center" vertical="center" wrapText="1"/>
    </xf>
    <xf numFmtId="0" fontId="50" fillId="2" borderId="51" xfId="0" applyFont="1" applyFill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37" fillId="2" borderId="8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9" fontId="33" fillId="3" borderId="7" xfId="1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5" fillId="0" borderId="67" xfId="0" applyFont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9" fillId="2" borderId="39" xfId="2" applyFont="1" applyFill="1" applyBorder="1" applyAlignment="1">
      <alignment vertical="center" wrapText="1"/>
    </xf>
    <xf numFmtId="0" fontId="57" fillId="0" borderId="0" xfId="2" applyFont="1" applyFill="1"/>
    <xf numFmtId="0" fontId="58" fillId="0" borderId="0" xfId="2" applyFont="1" applyFill="1"/>
    <xf numFmtId="0" fontId="59" fillId="0" borderId="0" xfId="2" applyFont="1" applyFill="1"/>
    <xf numFmtId="0" fontId="60" fillId="0" borderId="0" xfId="2" applyFont="1" applyFill="1"/>
    <xf numFmtId="3" fontId="57" fillId="0" borderId="0" xfId="2" applyNumberFormat="1" applyFont="1" applyFill="1"/>
    <xf numFmtId="4" fontId="57" fillId="0" borderId="0" xfId="2" applyNumberFormat="1" applyFont="1" applyFill="1"/>
    <xf numFmtId="0" fontId="57" fillId="0" borderId="1" xfId="2" applyFont="1" applyFill="1" applyBorder="1"/>
    <xf numFmtId="0" fontId="61" fillId="0" borderId="2" xfId="2" applyFont="1" applyFill="1" applyBorder="1"/>
    <xf numFmtId="0" fontId="57" fillId="0" borderId="2" xfId="2" applyFont="1" applyFill="1" applyBorder="1"/>
    <xf numFmtId="0" fontId="57" fillId="0" borderId="3" xfId="2" applyFont="1" applyFill="1" applyBorder="1"/>
    <xf numFmtId="0" fontId="57" fillId="0" borderId="10" xfId="2" applyFont="1" applyFill="1" applyBorder="1"/>
    <xf numFmtId="0" fontId="57" fillId="0" borderId="0" xfId="2" applyFont="1" applyFill="1" applyBorder="1"/>
    <xf numFmtId="0" fontId="57" fillId="0" borderId="11" xfId="2" applyFont="1" applyFill="1" applyBorder="1"/>
    <xf numFmtId="0" fontId="57" fillId="0" borderId="4" xfId="2" applyFont="1" applyFill="1" applyBorder="1"/>
    <xf numFmtId="0" fontId="57" fillId="0" borderId="8" xfId="2" applyFont="1" applyFill="1" applyBorder="1"/>
    <xf numFmtId="1" fontId="57" fillId="0" borderId="37" xfId="2" applyNumberFormat="1" applyFont="1" applyFill="1" applyBorder="1"/>
    <xf numFmtId="0" fontId="57" fillId="0" borderId="37" xfId="2" applyFont="1" applyFill="1" applyBorder="1"/>
    <xf numFmtId="3" fontId="57" fillId="0" borderId="4" xfId="2" applyNumberFormat="1" applyFont="1" applyFill="1" applyBorder="1"/>
    <xf numFmtId="3" fontId="57" fillId="0" borderId="8" xfId="2" applyNumberFormat="1" applyFont="1" applyFill="1" applyBorder="1"/>
    <xf numFmtId="3" fontId="57" fillId="0" borderId="37" xfId="2" applyNumberFormat="1" applyFont="1" applyFill="1" applyBorder="1"/>
    <xf numFmtId="0" fontId="57" fillId="0" borderId="24" xfId="2" applyFont="1" applyFill="1" applyBorder="1"/>
    <xf numFmtId="0" fontId="57" fillId="0" borderId="25" xfId="2" applyFont="1" applyFill="1" applyBorder="1"/>
    <xf numFmtId="0" fontId="57" fillId="0" borderId="30" xfId="2" applyFont="1" applyFill="1" applyBorder="1"/>
    <xf numFmtId="0" fontId="61" fillId="7" borderId="0" xfId="2" applyFont="1" applyFill="1"/>
    <xf numFmtId="0" fontId="57" fillId="0" borderId="47" xfId="2" applyFont="1" applyFill="1" applyBorder="1"/>
    <xf numFmtId="0" fontId="57" fillId="0" borderId="91" xfId="2" applyFont="1" applyFill="1" applyBorder="1"/>
    <xf numFmtId="0" fontId="57" fillId="0" borderId="92" xfId="2" applyFont="1" applyFill="1" applyBorder="1"/>
    <xf numFmtId="0" fontId="57" fillId="0" borderId="67" xfId="2" applyFont="1" applyFill="1" applyBorder="1"/>
    <xf numFmtId="0" fontId="57" fillId="0" borderId="43" xfId="2" applyFont="1" applyFill="1" applyBorder="1"/>
    <xf numFmtId="0" fontId="57" fillId="0" borderId="44" xfId="2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59" fillId="0" borderId="0" xfId="2" applyFont="1" applyFill="1" applyBorder="1"/>
    <xf numFmtId="164" fontId="57" fillId="0" borderId="0" xfId="2" applyNumberFormat="1" applyFont="1" applyFill="1" applyBorder="1"/>
    <xf numFmtId="0" fontId="60" fillId="0" borderId="0" xfId="2" applyFont="1" applyFill="1" applyBorder="1"/>
    <xf numFmtId="0" fontId="59" fillId="0" borderId="11" xfId="2" applyFont="1" applyFill="1" applyBorder="1"/>
    <xf numFmtId="0" fontId="57" fillId="7" borderId="0" xfId="2" applyFont="1" applyFill="1" applyBorder="1"/>
    <xf numFmtId="0" fontId="60" fillId="7" borderId="0" xfId="2" applyFont="1" applyFill="1" applyBorder="1"/>
    <xf numFmtId="0" fontId="59" fillId="7" borderId="0" xfId="2" applyFont="1" applyFill="1" applyBorder="1"/>
    <xf numFmtId="164" fontId="60" fillId="0" borderId="0" xfId="2" applyNumberFormat="1" applyFont="1" applyFill="1" applyBorder="1"/>
    <xf numFmtId="0" fontId="57" fillId="0" borderId="93" xfId="2" applyFont="1" applyFill="1" applyBorder="1"/>
    <xf numFmtId="0" fontId="57" fillId="0" borderId="45" xfId="2" applyFont="1" applyFill="1" applyBorder="1"/>
    <xf numFmtId="0" fontId="59" fillId="0" borderId="45" xfId="2" applyFont="1" applyFill="1" applyBorder="1"/>
    <xf numFmtId="0" fontId="60" fillId="0" borderId="45" xfId="2" applyFont="1" applyFill="1" applyBorder="1"/>
    <xf numFmtId="0" fontId="59" fillId="0" borderId="94" xfId="2" applyFont="1" applyFill="1" applyBorder="1"/>
    <xf numFmtId="0" fontId="57" fillId="8" borderId="0" xfId="2" applyFont="1" applyFill="1" applyBorder="1"/>
    <xf numFmtId="0" fontId="60" fillId="8" borderId="0" xfId="2" applyFont="1" applyFill="1" applyBorder="1"/>
    <xf numFmtId="0" fontId="59" fillId="0" borderId="2" xfId="2" applyFont="1" applyFill="1" applyBorder="1"/>
    <xf numFmtId="164" fontId="6" fillId="2" borderId="51" xfId="0" applyNumberFormat="1" applyFont="1" applyFill="1" applyBorder="1" applyAlignment="1">
      <alignment horizontal="right"/>
    </xf>
    <xf numFmtId="0" fontId="60" fillId="0" borderId="2" xfId="2" applyFont="1" applyFill="1" applyBorder="1"/>
    <xf numFmtId="0" fontId="59" fillId="0" borderId="3" xfId="2" applyFont="1" applyFill="1" applyBorder="1"/>
    <xf numFmtId="164" fontId="0" fillId="0" borderId="0" xfId="0" applyNumberFormat="1" applyBorder="1"/>
    <xf numFmtId="0" fontId="0" fillId="0" borderId="93" xfId="0" applyBorder="1"/>
    <xf numFmtId="0" fontId="0" fillId="0" borderId="45" xfId="0" applyBorder="1"/>
    <xf numFmtId="0" fontId="0" fillId="0" borderId="94" xfId="0" applyBorder="1"/>
    <xf numFmtId="0" fontId="61" fillId="8" borderId="0" xfId="2" applyFont="1" applyFill="1" applyBorder="1"/>
    <xf numFmtId="0" fontId="61" fillId="0" borderId="0" xfId="2" applyFont="1" applyFill="1" applyBorder="1"/>
    <xf numFmtId="0" fontId="30" fillId="0" borderId="24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3" fontId="33" fillId="2" borderId="48" xfId="0" applyNumberFormat="1" applyFont="1" applyFill="1" applyBorder="1" applyAlignment="1">
      <alignment horizontal="right" vertical="center"/>
    </xf>
    <xf numFmtId="3" fontId="33" fillId="2" borderId="51" xfId="0" applyNumberFormat="1" applyFont="1" applyFill="1" applyBorder="1" applyAlignment="1">
      <alignment horizontal="right" vertical="center"/>
    </xf>
    <xf numFmtId="3" fontId="33" fillId="3" borderId="98" xfId="0" applyNumberFormat="1" applyFont="1" applyFill="1" applyBorder="1" applyAlignment="1">
      <alignment horizontal="right" vertical="center"/>
    </xf>
    <xf numFmtId="3" fontId="33" fillId="2" borderId="4" xfId="0" applyNumberFormat="1" applyFont="1" applyFill="1" applyBorder="1" applyAlignment="1">
      <alignment horizontal="right" vertical="center"/>
    </xf>
    <xf numFmtId="3" fontId="33" fillId="3" borderId="37" xfId="0" applyNumberFormat="1" applyFont="1" applyFill="1" applyBorder="1" applyAlignment="1">
      <alignment horizontal="right" vertical="center"/>
    </xf>
    <xf numFmtId="3" fontId="33" fillId="2" borderId="67" xfId="0" applyNumberFormat="1" applyFont="1" applyFill="1" applyBorder="1" applyAlignment="1">
      <alignment horizontal="right" vertical="center"/>
    </xf>
    <xf numFmtId="3" fontId="33" fillId="2" borderId="43" xfId="0" applyNumberFormat="1" applyFont="1" applyFill="1" applyBorder="1" applyAlignment="1">
      <alignment horizontal="right" vertical="center"/>
    </xf>
    <xf numFmtId="3" fontId="33" fillId="3" borderId="44" xfId="0" applyNumberFormat="1" applyFont="1" applyFill="1" applyBorder="1" applyAlignment="1">
      <alignment horizontal="right" vertical="center"/>
    </xf>
    <xf numFmtId="3" fontId="33" fillId="3" borderId="49" xfId="0" applyNumberFormat="1" applyFont="1" applyFill="1" applyBorder="1" applyAlignment="1">
      <alignment horizontal="right" vertical="center"/>
    </xf>
    <xf numFmtId="3" fontId="33" fillId="3" borderId="5" xfId="0" applyNumberFormat="1" applyFont="1" applyFill="1" applyBorder="1" applyAlignment="1">
      <alignment horizontal="right" vertical="center"/>
    </xf>
    <xf numFmtId="3" fontId="33" fillId="3" borderId="72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3" fontId="57" fillId="0" borderId="10" xfId="2" applyNumberFormat="1" applyFont="1" applyFill="1" applyBorder="1"/>
    <xf numFmtId="3" fontId="57" fillId="0" borderId="0" xfId="2" applyNumberFormat="1" applyFont="1" applyFill="1" applyBorder="1"/>
    <xf numFmtId="0" fontId="62" fillId="0" borderId="0" xfId="0" applyFont="1"/>
    <xf numFmtId="3" fontId="65" fillId="9" borderId="0" xfId="0" applyNumberFormat="1" applyFont="1" applyFill="1"/>
    <xf numFmtId="3" fontId="66" fillId="2" borderId="9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71" xfId="0" applyNumberFormat="1" applyFont="1" applyBorder="1" applyAlignment="1">
      <alignment horizontal="center" vertical="center"/>
    </xf>
    <xf numFmtId="49" fontId="9" fillId="0" borderId="88" xfId="0" applyNumberFormat="1" applyFont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32" fillId="3" borderId="55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54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6" borderId="74" xfId="0" applyFont="1" applyFill="1" applyBorder="1" applyAlignment="1">
      <alignment horizontal="center" vertical="center" wrapText="1"/>
    </xf>
    <xf numFmtId="0" fontId="2" fillId="6" borderId="75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6" fillId="6" borderId="79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36" fillId="6" borderId="81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33" xfId="0" applyFont="1" applyFill="1" applyBorder="1" applyAlignment="1">
      <alignment horizontal="center" vertical="center" wrapText="1"/>
    </xf>
    <xf numFmtId="0" fontId="36" fillId="6" borderId="38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87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89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8" fillId="0" borderId="85" xfId="2" applyFont="1" applyFill="1" applyBorder="1" applyAlignment="1">
      <alignment horizontal="center" vertical="center" wrapText="1"/>
    </xf>
    <xf numFmtId="0" fontId="8" fillId="0" borderId="71" xfId="2" applyFont="1" applyFill="1" applyBorder="1" applyAlignment="1">
      <alignment horizontal="center" vertical="center" wrapText="1"/>
    </xf>
    <xf numFmtId="0" fontId="8" fillId="0" borderId="88" xfId="2" applyFont="1" applyFill="1" applyBorder="1" applyAlignment="1">
      <alignment horizontal="center" vertical="center" wrapText="1"/>
    </xf>
    <xf numFmtId="0" fontId="8" fillId="0" borderId="86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workbookViewId="0">
      <selection sqref="A1:I26"/>
    </sheetView>
  </sheetViews>
  <sheetFormatPr defaultRowHeight="15" x14ac:dyDescent="0.25"/>
  <cols>
    <col min="2" max="2" width="29.28515625" customWidth="1"/>
    <col min="3" max="3" width="12.7109375" customWidth="1"/>
    <col min="4" max="9" width="12.7109375" style="7" customWidth="1"/>
  </cols>
  <sheetData>
    <row r="2" spans="1:10" s="2" customFormat="1" ht="15.75" x14ac:dyDescent="0.25">
      <c r="A2" s="1" t="s">
        <v>0</v>
      </c>
      <c r="D2" s="3"/>
      <c r="E2" s="3"/>
      <c r="F2" s="3"/>
      <c r="G2" s="3"/>
      <c r="H2" s="3"/>
      <c r="I2" s="3"/>
    </row>
    <row r="3" spans="1:10" ht="15.75" x14ac:dyDescent="0.25">
      <c r="A3" s="4"/>
      <c r="B3" s="5"/>
      <c r="C3" s="5"/>
      <c r="D3" s="6"/>
      <c r="E3" s="6"/>
      <c r="F3" s="6"/>
      <c r="G3" s="6"/>
      <c r="H3" s="6"/>
      <c r="I3" s="6"/>
      <c r="J3" s="5"/>
    </row>
    <row r="4" spans="1:10" ht="15.75" thickBot="1" x14ac:dyDescent="0.3">
      <c r="A4" s="5"/>
      <c r="B4" s="5"/>
      <c r="C4" s="5"/>
      <c r="D4" s="6"/>
      <c r="E4" s="6"/>
      <c r="F4" s="6"/>
      <c r="H4" s="6"/>
      <c r="I4" s="8" t="s">
        <v>1</v>
      </c>
      <c r="J4" s="5"/>
    </row>
    <row r="5" spans="1:10" x14ac:dyDescent="0.25">
      <c r="A5" s="9"/>
      <c r="B5" s="10"/>
      <c r="C5" s="10"/>
      <c r="D5" s="11"/>
      <c r="E5" s="11"/>
      <c r="F5" s="11"/>
      <c r="G5" s="11"/>
      <c r="H5" s="11"/>
      <c r="I5" s="12"/>
      <c r="J5" s="5"/>
    </row>
    <row r="6" spans="1:10" x14ac:dyDescent="0.25">
      <c r="A6" s="13" t="s">
        <v>2</v>
      </c>
      <c r="B6" s="337" t="s">
        <v>3</v>
      </c>
      <c r="C6" s="338"/>
      <c r="D6" s="338"/>
      <c r="E6" s="338"/>
      <c r="F6" s="339"/>
      <c r="G6" s="14" t="s">
        <v>4</v>
      </c>
      <c r="H6" s="340"/>
      <c r="I6" s="341"/>
      <c r="J6" s="5"/>
    </row>
    <row r="7" spans="1:10" x14ac:dyDescent="0.25">
      <c r="A7" s="15"/>
      <c r="B7" s="16"/>
      <c r="C7" s="16"/>
      <c r="D7" s="17"/>
      <c r="E7" s="17"/>
      <c r="F7" s="17"/>
      <c r="G7" s="17"/>
      <c r="H7" s="18"/>
      <c r="I7" s="19"/>
      <c r="J7" s="5"/>
    </row>
    <row r="8" spans="1:10" x14ac:dyDescent="0.25">
      <c r="A8" s="342" t="s">
        <v>5</v>
      </c>
      <c r="B8" s="343"/>
      <c r="C8" s="348" t="s">
        <v>6</v>
      </c>
      <c r="D8" s="349"/>
      <c r="E8" s="349"/>
      <c r="F8" s="349"/>
      <c r="G8" s="349"/>
      <c r="H8" s="349"/>
      <c r="I8" s="350"/>
      <c r="J8" s="5"/>
    </row>
    <row r="9" spans="1:10" x14ac:dyDescent="0.25">
      <c r="A9" s="344"/>
      <c r="B9" s="345"/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1" t="s">
        <v>13</v>
      </c>
      <c r="J9" s="5"/>
    </row>
    <row r="10" spans="1:10" x14ac:dyDescent="0.25">
      <c r="A10" s="346"/>
      <c r="B10" s="347"/>
      <c r="C10" s="22" t="s">
        <v>14</v>
      </c>
      <c r="D10" s="22" t="s">
        <v>15</v>
      </c>
      <c r="E10" s="22" t="s">
        <v>16</v>
      </c>
      <c r="F10" s="22" t="s">
        <v>16</v>
      </c>
      <c r="G10" s="22" t="s">
        <v>16</v>
      </c>
      <c r="H10" s="22" t="s">
        <v>14</v>
      </c>
      <c r="I10" s="351" t="s">
        <v>17</v>
      </c>
      <c r="J10" s="5"/>
    </row>
    <row r="11" spans="1:10" ht="45" x14ac:dyDescent="0.25">
      <c r="A11" s="23" t="s">
        <v>18</v>
      </c>
      <c r="B11" s="24" t="s">
        <v>19</v>
      </c>
      <c r="C11" s="25" t="s">
        <v>157</v>
      </c>
      <c r="D11" s="25" t="s">
        <v>158</v>
      </c>
      <c r="E11" s="25" t="s">
        <v>159</v>
      </c>
      <c r="F11" s="25" t="s">
        <v>205</v>
      </c>
      <c r="G11" s="25" t="s">
        <v>206</v>
      </c>
      <c r="H11" s="25" t="s">
        <v>20</v>
      </c>
      <c r="I11" s="352"/>
      <c r="J11" s="5"/>
    </row>
    <row r="12" spans="1:10" x14ac:dyDescent="0.25">
      <c r="A12" s="26" t="s">
        <v>21</v>
      </c>
      <c r="B12" s="27" t="s">
        <v>22</v>
      </c>
      <c r="C12" s="28">
        <v>55000</v>
      </c>
      <c r="D12" s="28">
        <v>42959</v>
      </c>
      <c r="E12" s="28">
        <v>72300</v>
      </c>
      <c r="F12" s="28">
        <v>59500</v>
      </c>
      <c r="G12" s="28">
        <v>59500</v>
      </c>
      <c r="H12" s="28">
        <v>57661</v>
      </c>
      <c r="I12" s="29">
        <f>H12-G12</f>
        <v>-1839</v>
      </c>
      <c r="J12" s="5"/>
    </row>
    <row r="13" spans="1:10" x14ac:dyDescent="0.25">
      <c r="A13" s="26"/>
      <c r="B13" s="27"/>
      <c r="C13" s="28"/>
      <c r="D13" s="28"/>
      <c r="E13" s="28"/>
      <c r="F13" s="28"/>
      <c r="G13" s="28"/>
      <c r="H13" s="28"/>
      <c r="I13" s="29">
        <f>H13-G13</f>
        <v>0</v>
      </c>
      <c r="J13" s="5"/>
    </row>
    <row r="14" spans="1:10" x14ac:dyDescent="0.25">
      <c r="A14" s="26"/>
      <c r="B14" s="27"/>
      <c r="C14" s="28"/>
      <c r="D14" s="28"/>
      <c r="E14" s="28"/>
      <c r="F14" s="28"/>
      <c r="G14" s="28"/>
      <c r="H14" s="28"/>
      <c r="I14" s="29">
        <f>H14-G14</f>
        <v>0</v>
      </c>
      <c r="J14" s="5"/>
    </row>
    <row r="15" spans="1:10" x14ac:dyDescent="0.25">
      <c r="A15" s="26"/>
      <c r="B15" s="27"/>
      <c r="C15" s="28"/>
      <c r="D15" s="28"/>
      <c r="E15" s="28"/>
      <c r="F15" s="28"/>
      <c r="G15" s="28"/>
      <c r="H15" s="28"/>
      <c r="I15" s="29">
        <f>H15-G15</f>
        <v>0</v>
      </c>
      <c r="J15" s="5"/>
    </row>
    <row r="16" spans="1:10" x14ac:dyDescent="0.25">
      <c r="A16" s="26"/>
      <c r="B16" s="27"/>
      <c r="C16" s="28"/>
      <c r="D16" s="28"/>
      <c r="E16" s="28"/>
      <c r="F16" s="28"/>
      <c r="G16" s="28"/>
      <c r="H16" s="28"/>
      <c r="I16" s="29">
        <f>H16-G16</f>
        <v>0</v>
      </c>
      <c r="J16" s="5"/>
    </row>
    <row r="17" spans="1:10" ht="15.75" thickBot="1" x14ac:dyDescent="0.3">
      <c r="A17" s="26"/>
      <c r="B17" s="27"/>
      <c r="C17" s="28"/>
      <c r="D17" s="28"/>
      <c r="E17" s="28"/>
      <c r="F17" s="28"/>
      <c r="G17" s="28"/>
      <c r="H17" s="28"/>
      <c r="I17" s="29"/>
      <c r="J17" s="5"/>
    </row>
    <row r="18" spans="1:10" ht="15.75" thickBot="1" x14ac:dyDescent="0.3">
      <c r="A18" s="335" t="s">
        <v>23</v>
      </c>
      <c r="B18" s="336"/>
      <c r="C18" s="30">
        <f>SUM(C12:C17)</f>
        <v>55000</v>
      </c>
      <c r="D18" s="30">
        <f t="shared" ref="D18:G18" si="0">SUM(D12:D17)</f>
        <v>42959</v>
      </c>
      <c r="E18" s="30">
        <f t="shared" si="0"/>
        <v>72300</v>
      </c>
      <c r="F18" s="30">
        <f t="shared" si="0"/>
        <v>59500</v>
      </c>
      <c r="G18" s="30">
        <f t="shared" si="0"/>
        <v>59500</v>
      </c>
      <c r="H18" s="30">
        <f>SUM(H12:H17)</f>
        <v>57661</v>
      </c>
      <c r="I18" s="31">
        <f>SUM(I12:I17)</f>
        <v>-1839</v>
      </c>
      <c r="J18" s="5"/>
    </row>
    <row r="19" spans="1:10" ht="15.75" thickBot="1" x14ac:dyDescent="0.3">
      <c r="A19" s="323" t="s">
        <v>24</v>
      </c>
      <c r="B19" s="324"/>
      <c r="C19" s="32"/>
      <c r="D19" s="32"/>
      <c r="E19" s="32"/>
      <c r="F19" s="32"/>
      <c r="G19" s="32"/>
      <c r="H19" s="33"/>
      <c r="I19" s="34"/>
      <c r="J19" s="5"/>
    </row>
    <row r="20" spans="1:10" s="38" customFormat="1" ht="13.5" thickBot="1" x14ac:dyDescent="0.25">
      <c r="A20" s="325" t="s">
        <v>25</v>
      </c>
      <c r="B20" s="326"/>
      <c r="C20" s="35">
        <f t="shared" ref="C20:H20" si="1">C18+C19</f>
        <v>55000</v>
      </c>
      <c r="D20" s="35">
        <f t="shared" si="1"/>
        <v>42959</v>
      </c>
      <c r="E20" s="35">
        <f t="shared" si="1"/>
        <v>72300</v>
      </c>
      <c r="F20" s="35">
        <f t="shared" si="1"/>
        <v>59500</v>
      </c>
      <c r="G20" s="35">
        <f t="shared" si="1"/>
        <v>59500</v>
      </c>
      <c r="H20" s="35">
        <f t="shared" si="1"/>
        <v>57661</v>
      </c>
      <c r="I20" s="36"/>
      <c r="J20" s="37"/>
    </row>
    <row r="21" spans="1:10" x14ac:dyDescent="0.25">
      <c r="A21" s="5"/>
      <c r="B21" s="5"/>
      <c r="C21" s="5"/>
      <c r="D21" s="6"/>
      <c r="E21" s="6"/>
      <c r="F21" s="6"/>
      <c r="G21" s="6"/>
      <c r="H21" s="6"/>
      <c r="I21" s="6"/>
      <c r="J21" s="5"/>
    </row>
    <row r="22" spans="1:10" x14ac:dyDescent="0.25">
      <c r="A22" s="5"/>
      <c r="B22" s="5"/>
      <c r="C22" s="5"/>
      <c r="D22" s="6"/>
      <c r="E22" s="6"/>
      <c r="F22" s="6"/>
      <c r="G22" s="6"/>
      <c r="H22" s="6"/>
      <c r="I22" s="6"/>
      <c r="J22" s="5"/>
    </row>
    <row r="23" spans="1:10" x14ac:dyDescent="0.25">
      <c r="A23" s="5"/>
      <c r="B23" s="5"/>
      <c r="C23" s="5"/>
      <c r="D23" s="6"/>
      <c r="E23" s="6"/>
      <c r="F23" s="6"/>
      <c r="G23" s="6"/>
      <c r="H23" s="6"/>
      <c r="I23" s="6"/>
      <c r="J23" s="5"/>
    </row>
    <row r="24" spans="1:10" x14ac:dyDescent="0.25">
      <c r="A24" s="39"/>
      <c r="B24" s="327" t="s">
        <v>26</v>
      </c>
      <c r="C24" s="328"/>
      <c r="D24" s="40" t="s">
        <v>27</v>
      </c>
      <c r="E24" s="333" t="s">
        <v>214</v>
      </c>
      <c r="F24" s="334"/>
      <c r="G24" s="6"/>
      <c r="H24" s="6"/>
      <c r="I24" s="6"/>
      <c r="J24" s="5"/>
    </row>
    <row r="25" spans="1:10" x14ac:dyDescent="0.25">
      <c r="A25" s="39"/>
      <c r="B25" s="329"/>
      <c r="C25" s="330"/>
      <c r="D25" s="40" t="s">
        <v>28</v>
      </c>
      <c r="E25" s="333"/>
      <c r="F25" s="334"/>
      <c r="G25" s="6"/>
      <c r="H25" s="6"/>
      <c r="I25" s="6"/>
      <c r="J25" s="5"/>
    </row>
    <row r="26" spans="1:10" x14ac:dyDescent="0.25">
      <c r="A26" s="39"/>
      <c r="B26" s="331"/>
      <c r="C26" s="332"/>
      <c r="D26" s="40" t="s">
        <v>29</v>
      </c>
      <c r="E26" s="333"/>
      <c r="F26" s="334"/>
      <c r="G26" s="6"/>
      <c r="H26" s="6"/>
      <c r="I26" s="6"/>
      <c r="J26" s="5"/>
    </row>
    <row r="27" spans="1:10" x14ac:dyDescent="0.25">
      <c r="A27" s="5"/>
      <c r="B27" s="5"/>
      <c r="C27" s="5"/>
      <c r="D27" s="6"/>
      <c r="E27" s="6"/>
      <c r="F27" s="6"/>
      <c r="G27" s="6"/>
      <c r="H27" s="6"/>
      <c r="I27" s="6"/>
      <c r="J27" s="5"/>
    </row>
  </sheetData>
  <mergeCells count="12">
    <mergeCell ref="A18:B18"/>
    <mergeCell ref="B6:F6"/>
    <mergeCell ref="H6:I6"/>
    <mergeCell ref="A8:B10"/>
    <mergeCell ref="C8:I8"/>
    <mergeCell ref="I10:I11"/>
    <mergeCell ref="A19:B19"/>
    <mergeCell ref="A20:B20"/>
    <mergeCell ref="B24:C26"/>
    <mergeCell ref="E24:F24"/>
    <mergeCell ref="E25:F25"/>
    <mergeCell ref="E26:F2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workbookViewId="0">
      <selection sqref="A1:I34"/>
    </sheetView>
  </sheetViews>
  <sheetFormatPr defaultRowHeight="15" x14ac:dyDescent="0.25"/>
  <cols>
    <col min="1" max="1" width="12.42578125" style="7" customWidth="1"/>
    <col min="2" max="2" width="36.5703125" customWidth="1"/>
    <col min="3" max="3" width="15.42578125" customWidth="1"/>
    <col min="4" max="8" width="15.42578125" style="7" customWidth="1"/>
    <col min="9" max="9" width="15.85546875" style="91" customWidth="1"/>
  </cols>
  <sheetData>
    <row r="2" spans="1:10" s="2" customFormat="1" ht="15.75" x14ac:dyDescent="0.25">
      <c r="A2" s="41" t="s">
        <v>30</v>
      </c>
      <c r="D2" s="3"/>
      <c r="E2" s="3"/>
      <c r="F2" s="3"/>
      <c r="G2" s="3"/>
      <c r="H2" s="3"/>
      <c r="I2" s="42"/>
    </row>
    <row r="3" spans="1:10" ht="15.75" thickBot="1" x14ac:dyDescent="0.3">
      <c r="A3" s="43"/>
      <c r="B3" s="44"/>
      <c r="C3" s="44"/>
      <c r="D3" s="43"/>
      <c r="E3" s="43"/>
      <c r="F3" s="17"/>
      <c r="G3" s="45"/>
      <c r="H3" s="46"/>
      <c r="I3" s="47" t="s">
        <v>1</v>
      </c>
      <c r="J3" s="5"/>
    </row>
    <row r="4" spans="1:10" s="53" customFormat="1" x14ac:dyDescent="0.25">
      <c r="A4" s="48"/>
      <c r="B4" s="10"/>
      <c r="C4" s="10"/>
      <c r="D4" s="49"/>
      <c r="E4" s="49"/>
      <c r="F4" s="11"/>
      <c r="G4" s="11"/>
      <c r="H4" s="50"/>
      <c r="I4" s="51"/>
      <c r="J4" s="52"/>
    </row>
    <row r="5" spans="1:10" x14ac:dyDescent="0.25">
      <c r="A5" s="54" t="s">
        <v>2</v>
      </c>
      <c r="B5" s="55" t="s">
        <v>3</v>
      </c>
      <c r="C5" s="44"/>
      <c r="D5" s="44"/>
      <c r="E5" s="44"/>
      <c r="F5" s="44"/>
      <c r="G5" s="56"/>
      <c r="H5" s="14" t="s">
        <v>4</v>
      </c>
      <c r="I5" s="57" t="s">
        <v>31</v>
      </c>
      <c r="J5" s="5"/>
    </row>
    <row r="6" spans="1:10" x14ac:dyDescent="0.25">
      <c r="A6" s="54" t="s">
        <v>32</v>
      </c>
      <c r="B6" s="55" t="s">
        <v>33</v>
      </c>
      <c r="C6" s="58"/>
      <c r="D6" s="58"/>
      <c r="E6" s="58"/>
      <c r="F6" s="58"/>
      <c r="G6" s="59"/>
      <c r="H6" s="14" t="s">
        <v>34</v>
      </c>
      <c r="I6" s="57" t="s">
        <v>35</v>
      </c>
      <c r="J6" s="5"/>
    </row>
    <row r="7" spans="1:10" s="62" customFormat="1" x14ac:dyDescent="0.25">
      <c r="A7" s="343" t="s">
        <v>36</v>
      </c>
      <c r="B7" s="353" t="s">
        <v>19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60" t="s">
        <v>13</v>
      </c>
      <c r="J7" s="61"/>
    </row>
    <row r="8" spans="1:10" s="64" customFormat="1" x14ac:dyDescent="0.25">
      <c r="A8" s="345"/>
      <c r="B8" s="354"/>
      <c r="C8" s="22" t="s">
        <v>14</v>
      </c>
      <c r="D8" s="22" t="s">
        <v>15</v>
      </c>
      <c r="E8" s="22" t="s">
        <v>16</v>
      </c>
      <c r="F8" s="22" t="s">
        <v>16</v>
      </c>
      <c r="G8" s="22" t="s">
        <v>16</v>
      </c>
      <c r="H8" s="22" t="s">
        <v>14</v>
      </c>
      <c r="I8" s="356" t="s">
        <v>17</v>
      </c>
      <c r="J8" s="63"/>
    </row>
    <row r="9" spans="1:10" s="64" customFormat="1" ht="33.75" x14ac:dyDescent="0.25">
      <c r="A9" s="347"/>
      <c r="B9" s="355"/>
      <c r="C9" s="25" t="s">
        <v>160</v>
      </c>
      <c r="D9" s="25" t="s">
        <v>161</v>
      </c>
      <c r="E9" s="25" t="s">
        <v>159</v>
      </c>
      <c r="F9" s="25" t="s">
        <v>207</v>
      </c>
      <c r="G9" s="25" t="s">
        <v>215</v>
      </c>
      <c r="H9" s="25" t="s">
        <v>222</v>
      </c>
      <c r="I9" s="357"/>
      <c r="J9" s="63"/>
    </row>
    <row r="10" spans="1:10" x14ac:dyDescent="0.25">
      <c r="A10" s="65">
        <v>600</v>
      </c>
      <c r="B10" s="66" t="s">
        <v>37</v>
      </c>
      <c r="C10" s="67">
        <v>26856</v>
      </c>
      <c r="D10" s="67">
        <v>27159</v>
      </c>
      <c r="E10" s="67">
        <v>29159</v>
      </c>
      <c r="F10" s="67">
        <v>25871</v>
      </c>
      <c r="G10" s="67">
        <v>25871</v>
      </c>
      <c r="H10" s="67">
        <v>25544</v>
      </c>
      <c r="I10" s="68">
        <f>H10-G10</f>
        <v>-327</v>
      </c>
      <c r="J10" s="5"/>
    </row>
    <row r="11" spans="1:10" x14ac:dyDescent="0.25">
      <c r="A11" s="65">
        <v>601</v>
      </c>
      <c r="B11" s="66" t="s">
        <v>38</v>
      </c>
      <c r="C11" s="67">
        <v>4729</v>
      </c>
      <c r="D11" s="67">
        <v>4841</v>
      </c>
      <c r="E11" s="67">
        <v>5141</v>
      </c>
      <c r="F11" s="67">
        <v>4285</v>
      </c>
      <c r="G11" s="67">
        <v>4285</v>
      </c>
      <c r="H11" s="67">
        <v>4243</v>
      </c>
      <c r="I11" s="68">
        <f t="shared" ref="I11:I16" si="0">H11-G11</f>
        <v>-42</v>
      </c>
      <c r="J11" s="5"/>
    </row>
    <row r="12" spans="1:10" x14ac:dyDescent="0.25">
      <c r="A12" s="65">
        <v>602</v>
      </c>
      <c r="B12" s="66" t="s">
        <v>39</v>
      </c>
      <c r="C12" s="67">
        <v>11374</v>
      </c>
      <c r="D12" s="67">
        <v>23000</v>
      </c>
      <c r="E12" s="67">
        <v>23000</v>
      </c>
      <c r="F12" s="67">
        <v>14000</v>
      </c>
      <c r="G12" s="67">
        <v>14000</v>
      </c>
      <c r="H12" s="67">
        <v>12861</v>
      </c>
      <c r="I12" s="68">
        <f t="shared" si="0"/>
        <v>-1139</v>
      </c>
      <c r="J12" s="5"/>
    </row>
    <row r="13" spans="1:10" x14ac:dyDescent="0.25">
      <c r="A13" s="65">
        <v>603</v>
      </c>
      <c r="B13" s="66" t="s">
        <v>40</v>
      </c>
      <c r="C13" s="69"/>
      <c r="D13" s="69"/>
      <c r="E13" s="69"/>
      <c r="F13" s="69"/>
      <c r="G13" s="69"/>
      <c r="H13" s="69"/>
      <c r="I13" s="68">
        <f t="shared" si="0"/>
        <v>0</v>
      </c>
      <c r="J13" s="5"/>
    </row>
    <row r="14" spans="1:10" x14ac:dyDescent="0.25">
      <c r="A14" s="65">
        <v>604</v>
      </c>
      <c r="B14" s="66" t="s">
        <v>41</v>
      </c>
      <c r="C14" s="69"/>
      <c r="D14" s="69"/>
      <c r="E14" s="69"/>
      <c r="F14" s="69"/>
      <c r="G14" s="69"/>
      <c r="H14" s="69"/>
      <c r="I14" s="68">
        <f t="shared" si="0"/>
        <v>0</v>
      </c>
      <c r="J14" s="5"/>
    </row>
    <row r="15" spans="1:10" x14ac:dyDescent="0.25">
      <c r="A15" s="65">
        <v>605</v>
      </c>
      <c r="B15" s="66" t="s">
        <v>42</v>
      </c>
      <c r="C15" s="69"/>
      <c r="D15" s="69"/>
      <c r="E15" s="69"/>
      <c r="F15" s="69"/>
      <c r="G15" s="69"/>
      <c r="H15" s="69"/>
      <c r="I15" s="68">
        <f t="shared" si="0"/>
        <v>0</v>
      </c>
      <c r="J15" s="5"/>
    </row>
    <row r="16" spans="1:10" x14ac:dyDescent="0.25">
      <c r="A16" s="65">
        <v>606</v>
      </c>
      <c r="B16" s="66" t="s">
        <v>43</v>
      </c>
      <c r="C16" s="69">
        <v>0</v>
      </c>
      <c r="D16" s="69">
        <v>0</v>
      </c>
      <c r="E16" s="69">
        <v>0</v>
      </c>
      <c r="F16" s="69">
        <v>344</v>
      </c>
      <c r="G16" s="69">
        <v>344</v>
      </c>
      <c r="H16" s="69">
        <v>344</v>
      </c>
      <c r="I16" s="68">
        <f t="shared" si="0"/>
        <v>0</v>
      </c>
      <c r="J16" s="5"/>
    </row>
    <row r="17" spans="1:10" s="38" customFormat="1" ht="12.75" x14ac:dyDescent="0.2">
      <c r="A17" s="70" t="s">
        <v>44</v>
      </c>
      <c r="B17" s="71" t="s">
        <v>45</v>
      </c>
      <c r="C17" s="72">
        <f>SUM(C10:C16)</f>
        <v>42959</v>
      </c>
      <c r="D17" s="72">
        <f t="shared" ref="D17:I17" si="1">SUM(D10:D16)</f>
        <v>55000</v>
      </c>
      <c r="E17" s="72">
        <f t="shared" si="1"/>
        <v>57300</v>
      </c>
      <c r="F17" s="72">
        <f t="shared" si="1"/>
        <v>44500</v>
      </c>
      <c r="G17" s="72">
        <f t="shared" si="1"/>
        <v>44500</v>
      </c>
      <c r="H17" s="72">
        <f t="shared" si="1"/>
        <v>42992</v>
      </c>
      <c r="I17" s="73">
        <f t="shared" si="1"/>
        <v>-1508</v>
      </c>
      <c r="J17" s="37"/>
    </row>
    <row r="18" spans="1:10" x14ac:dyDescent="0.25">
      <c r="A18" s="65">
        <v>230</v>
      </c>
      <c r="B18" s="66" t="s">
        <v>46</v>
      </c>
      <c r="C18" s="69"/>
      <c r="D18" s="69"/>
      <c r="E18" s="69"/>
      <c r="F18" s="69"/>
      <c r="G18" s="69"/>
      <c r="H18" s="69"/>
      <c r="I18" s="68">
        <f>H18-G18</f>
        <v>0</v>
      </c>
      <c r="J18" s="5"/>
    </row>
    <row r="19" spans="1:10" x14ac:dyDescent="0.25">
      <c r="A19" s="65">
        <v>231</v>
      </c>
      <c r="B19" s="66" t="s">
        <v>47</v>
      </c>
      <c r="C19" s="69">
        <v>0</v>
      </c>
      <c r="D19" s="69">
        <v>0</v>
      </c>
      <c r="E19" s="69">
        <v>15000</v>
      </c>
      <c r="F19" s="69">
        <v>15000</v>
      </c>
      <c r="G19" s="69">
        <v>15000</v>
      </c>
      <c r="H19" s="69">
        <v>14669</v>
      </c>
      <c r="I19" s="68">
        <f>H19-G19</f>
        <v>-331</v>
      </c>
      <c r="J19" s="5"/>
    </row>
    <row r="20" spans="1:10" x14ac:dyDescent="0.25">
      <c r="A20" s="65">
        <v>232</v>
      </c>
      <c r="B20" s="66" t="s">
        <v>48</v>
      </c>
      <c r="C20" s="69"/>
      <c r="D20" s="69"/>
      <c r="E20" s="69"/>
      <c r="F20" s="69"/>
      <c r="G20" s="69"/>
      <c r="H20" s="69"/>
      <c r="I20" s="68">
        <f>H20-G20</f>
        <v>0</v>
      </c>
      <c r="J20" s="5"/>
    </row>
    <row r="21" spans="1:10" ht="34.5" customHeight="1" x14ac:dyDescent="0.25">
      <c r="A21" s="74" t="s">
        <v>49</v>
      </c>
      <c r="B21" s="75" t="s">
        <v>50</v>
      </c>
      <c r="C21" s="76">
        <f>SUM(C18:C20)</f>
        <v>0</v>
      </c>
      <c r="D21" s="76">
        <f t="shared" ref="D21:I21" si="2">SUM(D18:D20)</f>
        <v>0</v>
      </c>
      <c r="E21" s="76">
        <f t="shared" si="2"/>
        <v>15000</v>
      </c>
      <c r="F21" s="76">
        <f t="shared" si="2"/>
        <v>15000</v>
      </c>
      <c r="G21" s="76">
        <f t="shared" si="2"/>
        <v>15000</v>
      </c>
      <c r="H21" s="76">
        <f t="shared" si="2"/>
        <v>14669</v>
      </c>
      <c r="I21" s="77">
        <f t="shared" si="2"/>
        <v>-331</v>
      </c>
      <c r="J21" s="5"/>
    </row>
    <row r="22" spans="1:10" x14ac:dyDescent="0.25">
      <c r="A22" s="65">
        <v>230</v>
      </c>
      <c r="B22" s="66" t="s">
        <v>46</v>
      </c>
      <c r="C22" s="78"/>
      <c r="D22" s="78"/>
      <c r="E22" s="78"/>
      <c r="F22" s="78"/>
      <c r="G22" s="78"/>
      <c r="H22" s="78"/>
      <c r="I22" s="68">
        <f>H22-G22</f>
        <v>0</v>
      </c>
      <c r="J22" s="5"/>
    </row>
    <row r="23" spans="1:10" x14ac:dyDescent="0.25">
      <c r="A23" s="65">
        <v>231</v>
      </c>
      <c r="B23" s="66" t="s">
        <v>47</v>
      </c>
      <c r="C23" s="78"/>
      <c r="D23" s="78"/>
      <c r="E23" s="78"/>
      <c r="F23" s="78"/>
      <c r="G23" s="78"/>
      <c r="H23" s="78"/>
      <c r="I23" s="68">
        <f>H23-G23</f>
        <v>0</v>
      </c>
      <c r="J23" s="5"/>
    </row>
    <row r="24" spans="1:10" x14ac:dyDescent="0.25">
      <c r="A24" s="65">
        <v>232</v>
      </c>
      <c r="B24" s="66" t="s">
        <v>48</v>
      </c>
      <c r="C24" s="78"/>
      <c r="D24" s="78"/>
      <c r="E24" s="78"/>
      <c r="F24" s="78"/>
      <c r="G24" s="78"/>
      <c r="H24" s="78"/>
      <c r="I24" s="68">
        <f>H24-G24</f>
        <v>0</v>
      </c>
      <c r="J24" s="5"/>
    </row>
    <row r="25" spans="1:10" ht="27" customHeight="1" x14ac:dyDescent="0.25">
      <c r="A25" s="74" t="s">
        <v>49</v>
      </c>
      <c r="B25" s="75" t="s">
        <v>51</v>
      </c>
      <c r="C25" s="76">
        <f>SUM(C22:C24)</f>
        <v>0</v>
      </c>
      <c r="D25" s="76">
        <f t="shared" ref="D25:I25" si="3">SUM(D22:D24)</f>
        <v>0</v>
      </c>
      <c r="E25" s="76">
        <f t="shared" si="3"/>
        <v>0</v>
      </c>
      <c r="F25" s="76">
        <f t="shared" si="3"/>
        <v>0</v>
      </c>
      <c r="G25" s="76">
        <f t="shared" si="3"/>
        <v>0</v>
      </c>
      <c r="H25" s="76">
        <f t="shared" si="3"/>
        <v>0</v>
      </c>
      <c r="I25" s="77">
        <f t="shared" si="3"/>
        <v>0</v>
      </c>
      <c r="J25" s="5"/>
    </row>
    <row r="26" spans="1:10" s="38" customFormat="1" ht="12.75" x14ac:dyDescent="0.2">
      <c r="A26" s="70" t="s">
        <v>52</v>
      </c>
      <c r="B26" s="79" t="s">
        <v>53</v>
      </c>
      <c r="C26" s="80">
        <f t="shared" ref="C26:I26" si="4">C21+C25</f>
        <v>0</v>
      </c>
      <c r="D26" s="80">
        <f t="shared" si="4"/>
        <v>0</v>
      </c>
      <c r="E26" s="80">
        <f t="shared" si="4"/>
        <v>15000</v>
      </c>
      <c r="F26" s="80">
        <f t="shared" si="4"/>
        <v>15000</v>
      </c>
      <c r="G26" s="80">
        <f t="shared" si="4"/>
        <v>15000</v>
      </c>
      <c r="H26" s="80">
        <f t="shared" si="4"/>
        <v>14669</v>
      </c>
      <c r="I26" s="81">
        <f t="shared" si="4"/>
        <v>-331</v>
      </c>
      <c r="J26" s="37"/>
    </row>
    <row r="27" spans="1:10" x14ac:dyDescent="0.25">
      <c r="A27" s="358" t="s">
        <v>54</v>
      </c>
      <c r="B27" s="359"/>
      <c r="C27" s="82"/>
      <c r="D27" s="82"/>
      <c r="E27" s="82"/>
      <c r="F27" s="82"/>
      <c r="G27" s="82"/>
      <c r="H27" s="83">
        <v>0</v>
      </c>
      <c r="I27" s="84"/>
    </row>
    <row r="28" spans="1:10" s="38" customFormat="1" ht="13.5" thickBot="1" x14ac:dyDescent="0.25">
      <c r="A28" s="360" t="s">
        <v>55</v>
      </c>
      <c r="B28" s="361"/>
      <c r="C28" s="85">
        <f t="shared" ref="C28:I28" si="5">C17+C26+C27</f>
        <v>42959</v>
      </c>
      <c r="D28" s="85">
        <f t="shared" si="5"/>
        <v>55000</v>
      </c>
      <c r="E28" s="85">
        <f t="shared" si="5"/>
        <v>72300</v>
      </c>
      <c r="F28" s="85">
        <f t="shared" si="5"/>
        <v>59500</v>
      </c>
      <c r="G28" s="85">
        <f t="shared" si="5"/>
        <v>59500</v>
      </c>
      <c r="H28" s="85">
        <f t="shared" si="5"/>
        <v>57661</v>
      </c>
      <c r="I28" s="86">
        <f t="shared" si="5"/>
        <v>-1839</v>
      </c>
    </row>
    <row r="29" spans="1:10" x14ac:dyDescent="0.25">
      <c r="A29" s="87"/>
      <c r="B29" s="88"/>
      <c r="C29" s="88"/>
      <c r="D29" s="89"/>
      <c r="E29" s="89"/>
      <c r="F29" s="89"/>
      <c r="G29" s="89"/>
      <c r="H29" s="89"/>
      <c r="I29" s="90"/>
    </row>
    <row r="30" spans="1:10" x14ac:dyDescent="0.25">
      <c r="A30" s="87"/>
      <c r="B30" s="88"/>
      <c r="C30" s="88"/>
      <c r="D30" s="89"/>
      <c r="E30" s="89"/>
      <c r="F30" s="89"/>
      <c r="G30" s="89"/>
      <c r="H30" s="89"/>
      <c r="I30" s="90"/>
    </row>
    <row r="32" spans="1:10" x14ac:dyDescent="0.25">
      <c r="A32" s="362" t="s">
        <v>56</v>
      </c>
      <c r="B32" s="92" t="s">
        <v>223</v>
      </c>
      <c r="C32" s="327" t="s">
        <v>26</v>
      </c>
      <c r="D32" s="328"/>
      <c r="E32" s="40" t="s">
        <v>27</v>
      </c>
      <c r="F32" s="333" t="s">
        <v>214</v>
      </c>
      <c r="G32" s="334"/>
      <c r="H32" s="46"/>
      <c r="I32" s="93"/>
    </row>
    <row r="33" spans="1:9" x14ac:dyDescent="0.25">
      <c r="A33" s="363"/>
      <c r="B33" s="92" t="s">
        <v>28</v>
      </c>
      <c r="C33" s="329"/>
      <c r="D33" s="330"/>
      <c r="E33" s="40" t="s">
        <v>28</v>
      </c>
      <c r="F33" s="333"/>
      <c r="G33" s="334"/>
      <c r="H33" s="46"/>
      <c r="I33" s="93"/>
    </row>
    <row r="34" spans="1:9" x14ac:dyDescent="0.25">
      <c r="A34" s="364"/>
      <c r="B34" s="92" t="s">
        <v>29</v>
      </c>
      <c r="C34" s="331"/>
      <c r="D34" s="332"/>
      <c r="E34" s="40" t="s">
        <v>29</v>
      </c>
      <c r="F34" s="333"/>
      <c r="G34" s="334"/>
      <c r="H34" s="46"/>
      <c r="I34" s="93"/>
    </row>
  </sheetData>
  <mergeCells count="10">
    <mergeCell ref="A32:A34"/>
    <mergeCell ref="C32:D34"/>
    <mergeCell ref="F32:G32"/>
    <mergeCell ref="F33:G33"/>
    <mergeCell ref="F34:G34"/>
    <mergeCell ref="A7:A9"/>
    <mergeCell ref="B7:B9"/>
    <mergeCell ref="I8:I9"/>
    <mergeCell ref="A27:B27"/>
    <mergeCell ref="A28:B28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121"/>
  <sheetViews>
    <sheetView topLeftCell="A14" workbookViewId="0">
      <selection activeCell="K33" sqref="K33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96" customFormat="1" ht="15.75" x14ac:dyDescent="0.25">
      <c r="A2" s="94" t="s">
        <v>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9" s="96" customFormat="1" ht="15.75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9" x14ac:dyDescent="0.25">
      <c r="A4" s="99" t="s">
        <v>2</v>
      </c>
      <c r="B4" s="55" t="s">
        <v>3</v>
      </c>
      <c r="C4" s="100" t="s">
        <v>4</v>
      </c>
      <c r="D4" s="101">
        <v>14</v>
      </c>
      <c r="E4" s="102"/>
      <c r="F4" s="102"/>
      <c r="G4" s="102"/>
      <c r="H4" s="102"/>
      <c r="I4" s="102"/>
      <c r="J4" s="102"/>
      <c r="K4" s="103"/>
      <c r="L4" s="103"/>
      <c r="M4" s="103"/>
      <c r="N4" s="103"/>
    </row>
    <row r="5" spans="1:19" x14ac:dyDescent="0.25">
      <c r="A5" s="104"/>
      <c r="B5" s="105"/>
      <c r="C5" s="105"/>
      <c r="D5" s="105"/>
      <c r="E5" s="102"/>
      <c r="F5" s="102"/>
      <c r="G5" s="102"/>
      <c r="H5" s="102"/>
      <c r="I5" s="102"/>
      <c r="J5" s="102"/>
      <c r="K5" s="103"/>
      <c r="L5" s="103"/>
      <c r="M5" s="103"/>
      <c r="N5" s="103"/>
    </row>
    <row r="6" spans="1:19" x14ac:dyDescent="0.25">
      <c r="A6" s="99" t="s">
        <v>32</v>
      </c>
      <c r="B6" s="55" t="s">
        <v>33</v>
      </c>
      <c r="C6" s="100" t="s">
        <v>34</v>
      </c>
      <c r="D6" s="101">
        <v>1014045</v>
      </c>
      <c r="E6" s="106"/>
      <c r="F6" s="107"/>
      <c r="G6" s="107"/>
      <c r="H6" s="107"/>
      <c r="I6" s="107"/>
      <c r="J6" s="107"/>
      <c r="K6" s="103"/>
      <c r="L6" s="103"/>
      <c r="M6" s="103"/>
      <c r="N6" s="103"/>
    </row>
    <row r="7" spans="1:19" ht="15.75" thickBot="1" x14ac:dyDescent="0.3">
      <c r="A7" s="384"/>
      <c r="B7" s="385"/>
    </row>
    <row r="8" spans="1:19" s="110" customFormat="1" ht="16.5" thickBot="1" x14ac:dyDescent="0.3">
      <c r="A8" s="297"/>
      <c r="B8" s="108" t="s">
        <v>1</v>
      </c>
      <c r="C8" s="109"/>
      <c r="D8" s="109"/>
      <c r="E8" s="109"/>
      <c r="F8" s="109" t="s">
        <v>58</v>
      </c>
      <c r="G8" s="109"/>
      <c r="H8" s="109"/>
      <c r="I8" s="109" t="s">
        <v>59</v>
      </c>
      <c r="J8" s="109"/>
      <c r="K8" s="109"/>
      <c r="L8" s="109" t="s">
        <v>60</v>
      </c>
      <c r="M8" s="109"/>
      <c r="N8" s="109"/>
      <c r="O8" s="109" t="s">
        <v>61</v>
      </c>
      <c r="P8" s="386" t="s">
        <v>62</v>
      </c>
      <c r="Q8" s="387"/>
      <c r="R8" s="388"/>
      <c r="S8" s="389" t="s">
        <v>63</v>
      </c>
    </row>
    <row r="9" spans="1:19" s="111" customFormat="1" ht="11.25" customHeight="1" x14ac:dyDescent="0.25">
      <c r="A9" s="391" t="s">
        <v>64</v>
      </c>
      <c r="B9" s="391" t="s">
        <v>65</v>
      </c>
      <c r="C9" s="393" t="s">
        <v>66</v>
      </c>
      <c r="D9" s="395" t="s">
        <v>67</v>
      </c>
      <c r="E9" s="369" t="s">
        <v>68</v>
      </c>
      <c r="F9" s="371" t="s">
        <v>69</v>
      </c>
      <c r="G9" s="365" t="s">
        <v>70</v>
      </c>
      <c r="H9" s="369" t="s">
        <v>71</v>
      </c>
      <c r="I9" s="371" t="s">
        <v>72</v>
      </c>
      <c r="J9" s="373" t="s">
        <v>218</v>
      </c>
      <c r="K9" s="373" t="s">
        <v>224</v>
      </c>
      <c r="L9" s="371" t="s">
        <v>73</v>
      </c>
      <c r="M9" s="365" t="s">
        <v>225</v>
      </c>
      <c r="N9" s="369" t="s">
        <v>226</v>
      </c>
      <c r="O9" s="371" t="s">
        <v>74</v>
      </c>
      <c r="P9" s="397" t="s">
        <v>75</v>
      </c>
      <c r="Q9" s="399" t="s">
        <v>76</v>
      </c>
      <c r="R9" s="401" t="s">
        <v>77</v>
      </c>
      <c r="S9" s="390"/>
    </row>
    <row r="10" spans="1:19" s="111" customFormat="1" ht="83.25" customHeight="1" thickBot="1" x14ac:dyDescent="0.3">
      <c r="A10" s="392"/>
      <c r="B10" s="392"/>
      <c r="C10" s="394"/>
      <c r="D10" s="328"/>
      <c r="E10" s="362"/>
      <c r="F10" s="396"/>
      <c r="G10" s="366"/>
      <c r="H10" s="370"/>
      <c r="I10" s="372"/>
      <c r="J10" s="374"/>
      <c r="K10" s="374"/>
      <c r="L10" s="372"/>
      <c r="M10" s="366"/>
      <c r="N10" s="370"/>
      <c r="O10" s="372"/>
      <c r="P10" s="398"/>
      <c r="Q10" s="400"/>
      <c r="R10" s="402"/>
      <c r="S10" s="390"/>
    </row>
    <row r="11" spans="1:19" s="62" customFormat="1" ht="73.5" customHeight="1" thickBot="1" x14ac:dyDescent="0.3">
      <c r="A11" s="298" t="s">
        <v>78</v>
      </c>
      <c r="B11" s="311" t="s">
        <v>192</v>
      </c>
      <c r="C11" s="112" t="s">
        <v>79</v>
      </c>
      <c r="D11" s="300">
        <v>255</v>
      </c>
      <c r="E11" s="301">
        <v>20271</v>
      </c>
      <c r="F11" s="302">
        <f>E11/D11</f>
        <v>79.494117647058829</v>
      </c>
      <c r="G11" s="300">
        <v>230</v>
      </c>
      <c r="H11" s="301">
        <f>(8590000+1518000+11683000)/1000</f>
        <v>21791</v>
      </c>
      <c r="I11" s="302">
        <f t="shared" ref="I11:I17" si="0">H11/G11</f>
        <v>94.743478260869566</v>
      </c>
      <c r="J11" s="300">
        <v>230</v>
      </c>
      <c r="K11" s="301">
        <f>K46</f>
        <v>37611.43580636743</v>
      </c>
      <c r="L11" s="302">
        <f t="shared" ref="L11:L16" si="1">K11/J11</f>
        <v>163.52798176681492</v>
      </c>
      <c r="M11" s="300">
        <v>209</v>
      </c>
      <c r="N11" s="301">
        <f>K73</f>
        <v>36663.869707549391</v>
      </c>
      <c r="O11" s="302">
        <f t="shared" ref="O11:O17" si="2">N11/M11</f>
        <v>175.42521391171957</v>
      </c>
      <c r="P11" s="300">
        <f>O11-F11</f>
        <v>95.931096264660738</v>
      </c>
      <c r="Q11" s="301">
        <f t="shared" ref="Q11:Q17" si="3">O11-I11</f>
        <v>80.681735650850001</v>
      </c>
      <c r="R11" s="308">
        <f t="shared" ref="R11:R17" si="4">O11-L11</f>
        <v>11.897232144904649</v>
      </c>
      <c r="S11" s="317" t="s">
        <v>212</v>
      </c>
    </row>
    <row r="12" spans="1:19" s="62" customFormat="1" ht="87" customHeight="1" thickBot="1" x14ac:dyDescent="0.3">
      <c r="A12" s="298" t="s">
        <v>80</v>
      </c>
      <c r="B12" s="311" t="s">
        <v>194</v>
      </c>
      <c r="C12" s="112" t="s">
        <v>81</v>
      </c>
      <c r="D12" s="303">
        <v>12</v>
      </c>
      <c r="E12" s="113">
        <v>7373</v>
      </c>
      <c r="F12" s="304">
        <f>E12/D12</f>
        <v>614.41666666666663</v>
      </c>
      <c r="G12" s="303">
        <v>12</v>
      </c>
      <c r="H12" s="113">
        <f>(7467000+1317000+6398000)/1000</f>
        <v>15182</v>
      </c>
      <c r="I12" s="304">
        <f t="shared" si="0"/>
        <v>1265.1666666666667</v>
      </c>
      <c r="J12" s="303">
        <v>12</v>
      </c>
      <c r="K12" s="113">
        <f>K52</f>
        <v>3894.6129497622642</v>
      </c>
      <c r="L12" s="302">
        <f t="shared" si="1"/>
        <v>324.55107914685533</v>
      </c>
      <c r="M12" s="303">
        <v>20</v>
      </c>
      <c r="N12" s="113">
        <f>K79</f>
        <v>3577.7583676351774</v>
      </c>
      <c r="O12" s="304">
        <f t="shared" si="2"/>
        <v>178.88791838175888</v>
      </c>
      <c r="P12" s="303">
        <f>O12-F12</f>
        <v>-435.52874828490775</v>
      </c>
      <c r="Q12" s="113">
        <f t="shared" si="3"/>
        <v>-1086.2787482849078</v>
      </c>
      <c r="R12" s="309">
        <f t="shared" si="4"/>
        <v>-145.66316076509645</v>
      </c>
      <c r="S12" s="317" t="s">
        <v>219</v>
      </c>
    </row>
    <row r="13" spans="1:19" s="62" customFormat="1" ht="66" customHeight="1" thickBot="1" x14ac:dyDescent="0.3">
      <c r="A13" s="298" t="s">
        <v>82</v>
      </c>
      <c r="B13" s="312" t="s">
        <v>193</v>
      </c>
      <c r="C13" s="112" t="s">
        <v>83</v>
      </c>
      <c r="D13" s="303">
        <v>45</v>
      </c>
      <c r="E13" s="113">
        <v>7207</v>
      </c>
      <c r="F13" s="304">
        <f>E13/D13</f>
        <v>160.15555555555557</v>
      </c>
      <c r="G13" s="303">
        <v>48</v>
      </c>
      <c r="H13" s="113">
        <f>9484000/1000</f>
        <v>9484</v>
      </c>
      <c r="I13" s="304">
        <f t="shared" si="0"/>
        <v>197.58333333333334</v>
      </c>
      <c r="J13" s="303">
        <v>48</v>
      </c>
      <c r="K13" s="113">
        <f>K49</f>
        <v>1740.9061917493514</v>
      </c>
      <c r="L13" s="302">
        <f t="shared" si="1"/>
        <v>36.268878994778156</v>
      </c>
      <c r="M13" s="303">
        <v>51</v>
      </c>
      <c r="N13" s="113">
        <f>K76</f>
        <v>1599.2710380063147</v>
      </c>
      <c r="O13" s="304">
        <f t="shared" si="2"/>
        <v>31.358255647182641</v>
      </c>
      <c r="P13" s="303">
        <f>O13-F13</f>
        <v>-128.79729990837293</v>
      </c>
      <c r="Q13" s="113">
        <f t="shared" si="3"/>
        <v>-166.22507768615071</v>
      </c>
      <c r="R13" s="309">
        <f t="shared" si="4"/>
        <v>-4.9106233475955143</v>
      </c>
      <c r="S13" s="317" t="s">
        <v>208</v>
      </c>
    </row>
    <row r="14" spans="1:19" s="62" customFormat="1" ht="63" customHeight="1" thickBot="1" x14ac:dyDescent="0.3">
      <c r="A14" s="318" t="s">
        <v>84</v>
      </c>
      <c r="B14" s="311" t="s">
        <v>195</v>
      </c>
      <c r="C14" s="112" t="s">
        <v>81</v>
      </c>
      <c r="D14" s="303">
        <v>312</v>
      </c>
      <c r="E14" s="113">
        <v>8108</v>
      </c>
      <c r="F14" s="304">
        <f>E14/D14</f>
        <v>25.987179487179485</v>
      </c>
      <c r="G14" s="303">
        <v>290</v>
      </c>
      <c r="H14" s="113">
        <f>(7467000+1317000+2059000)/1000</f>
        <v>10843</v>
      </c>
      <c r="I14" s="304">
        <f t="shared" si="0"/>
        <v>37.389655172413796</v>
      </c>
      <c r="J14" s="303">
        <v>290</v>
      </c>
      <c r="K14" s="113">
        <f>K55</f>
        <v>1253.0450521209557</v>
      </c>
      <c r="L14" s="302">
        <f t="shared" si="1"/>
        <v>4.3208450073136406</v>
      </c>
      <c r="M14" s="303">
        <v>280</v>
      </c>
      <c r="N14" s="113">
        <f>K82</f>
        <v>1151.1008868091151</v>
      </c>
      <c r="O14" s="304">
        <f t="shared" si="2"/>
        <v>4.1110745957468398</v>
      </c>
      <c r="P14" s="303">
        <f>O14-F14</f>
        <v>-21.876104891432647</v>
      </c>
      <c r="Q14" s="113">
        <f t="shared" si="3"/>
        <v>-33.278580576666954</v>
      </c>
      <c r="R14" s="309">
        <f t="shared" si="4"/>
        <v>-0.20977041156680087</v>
      </c>
      <c r="S14" s="317" t="s">
        <v>211</v>
      </c>
    </row>
    <row r="15" spans="1:19" s="62" customFormat="1" ht="53.25" customHeight="1" x14ac:dyDescent="0.25">
      <c r="A15" s="319" t="s">
        <v>123</v>
      </c>
      <c r="B15" s="311" t="s">
        <v>190</v>
      </c>
      <c r="C15" s="112" t="s">
        <v>203</v>
      </c>
      <c r="D15" s="303">
        <v>0</v>
      </c>
      <c r="E15" s="113">
        <v>0</v>
      </c>
      <c r="F15" s="304">
        <v>0</v>
      </c>
      <c r="G15" s="303">
        <v>1</v>
      </c>
      <c r="H15" s="113">
        <v>14000</v>
      </c>
      <c r="I15" s="304">
        <f t="shared" ref="I15" si="5">H15/G15</f>
        <v>14000</v>
      </c>
      <c r="J15" s="303">
        <v>1</v>
      </c>
      <c r="K15" s="113">
        <v>14000</v>
      </c>
      <c r="L15" s="302">
        <f t="shared" si="1"/>
        <v>14000</v>
      </c>
      <c r="M15" s="303">
        <v>1</v>
      </c>
      <c r="N15" s="113">
        <v>14000</v>
      </c>
      <c r="O15" s="304">
        <f t="shared" si="2"/>
        <v>14000</v>
      </c>
      <c r="P15" s="303">
        <f t="shared" ref="P15" si="6">O15-F15</f>
        <v>14000</v>
      </c>
      <c r="Q15" s="113">
        <v>0</v>
      </c>
      <c r="R15" s="309">
        <f t="shared" ref="R15" si="7">O15-L15</f>
        <v>0</v>
      </c>
      <c r="S15" s="317" t="s">
        <v>220</v>
      </c>
    </row>
    <row r="16" spans="1:19" s="62" customFormat="1" ht="53.25" customHeight="1" x14ac:dyDescent="0.25">
      <c r="A16" s="320" t="s">
        <v>125</v>
      </c>
      <c r="B16" s="311" t="s">
        <v>167</v>
      </c>
      <c r="C16" s="112" t="s">
        <v>191</v>
      </c>
      <c r="D16" s="303">
        <v>0</v>
      </c>
      <c r="E16" s="113">
        <v>0</v>
      </c>
      <c r="F16" s="304">
        <v>0</v>
      </c>
      <c r="G16" s="303">
        <v>10</v>
      </c>
      <c r="H16" s="113">
        <v>300</v>
      </c>
      <c r="I16" s="304">
        <f t="shared" si="0"/>
        <v>30</v>
      </c>
      <c r="J16" s="303">
        <v>16</v>
      </c>
      <c r="K16" s="113">
        <v>300</v>
      </c>
      <c r="L16" s="304">
        <f t="shared" si="1"/>
        <v>18.75</v>
      </c>
      <c r="M16" s="303">
        <v>16</v>
      </c>
      <c r="N16" s="113">
        <v>197</v>
      </c>
      <c r="O16" s="304">
        <f t="shared" si="2"/>
        <v>12.3125</v>
      </c>
      <c r="P16" s="303">
        <f>O16-F16</f>
        <v>12.3125</v>
      </c>
      <c r="Q16" s="113">
        <f t="shared" si="3"/>
        <v>-17.6875</v>
      </c>
      <c r="R16" s="309">
        <f t="shared" si="4"/>
        <v>-6.4375</v>
      </c>
      <c r="S16" s="317" t="s">
        <v>209</v>
      </c>
    </row>
    <row r="17" spans="1:19" s="62" customFormat="1" ht="53.25" customHeight="1" thickBot="1" x14ac:dyDescent="0.3">
      <c r="A17" s="321" t="s">
        <v>200</v>
      </c>
      <c r="B17" s="312" t="s">
        <v>166</v>
      </c>
      <c r="C17" s="299" t="s">
        <v>191</v>
      </c>
      <c r="D17" s="305">
        <v>0</v>
      </c>
      <c r="E17" s="306">
        <v>0</v>
      </c>
      <c r="F17" s="307">
        <v>0</v>
      </c>
      <c r="G17" s="305">
        <v>3</v>
      </c>
      <c r="H17" s="306">
        <v>700</v>
      </c>
      <c r="I17" s="307">
        <f t="shared" si="0"/>
        <v>233.33333333333334</v>
      </c>
      <c r="J17" s="305">
        <v>4</v>
      </c>
      <c r="K17" s="306">
        <v>700</v>
      </c>
      <c r="L17" s="307">
        <f>K17/J17</f>
        <v>175</v>
      </c>
      <c r="M17" s="305">
        <v>4</v>
      </c>
      <c r="N17" s="306">
        <v>472</v>
      </c>
      <c r="O17" s="304">
        <f t="shared" si="2"/>
        <v>118</v>
      </c>
      <c r="P17" s="305">
        <f t="shared" ref="P17" si="8">O17-F17</f>
        <v>118</v>
      </c>
      <c r="Q17" s="306">
        <f t="shared" si="3"/>
        <v>-115.33333333333334</v>
      </c>
      <c r="R17" s="310">
        <f t="shared" si="4"/>
        <v>-57</v>
      </c>
      <c r="S17" s="317" t="s">
        <v>210</v>
      </c>
    </row>
    <row r="18" spans="1:19" s="53" customFormat="1" x14ac:dyDescent="0.25">
      <c r="B18" s="114"/>
    </row>
    <row r="19" spans="1:19" ht="15.75" thickBot="1" x14ac:dyDescent="0.3">
      <c r="A19" s="367" t="s">
        <v>85</v>
      </c>
      <c r="B19" s="368"/>
      <c r="C19" s="368"/>
      <c r="D19" s="368"/>
      <c r="E19" s="368"/>
      <c r="F19" s="368"/>
      <c r="K19" s="316">
        <f>SUM(K11:K18)</f>
        <v>59500</v>
      </c>
      <c r="L19" s="316">
        <f>SUM(L11:L18)</f>
        <v>14722.418784915762</v>
      </c>
      <c r="M19" s="316">
        <f>SUM(M11:M18)</f>
        <v>581</v>
      </c>
      <c r="N19" s="316">
        <f>SUM(N11:N18)</f>
        <v>57661</v>
      </c>
    </row>
    <row r="20" spans="1:19" ht="34.5" thickTop="1" x14ac:dyDescent="0.25">
      <c r="A20" s="115" t="s">
        <v>64</v>
      </c>
      <c r="B20" s="116" t="s">
        <v>65</v>
      </c>
      <c r="C20" s="117" t="s">
        <v>86</v>
      </c>
      <c r="D20" s="117" t="s">
        <v>87</v>
      </c>
      <c r="E20" s="117" t="s">
        <v>88</v>
      </c>
      <c r="F20" s="118" t="s">
        <v>63</v>
      </c>
    </row>
    <row r="21" spans="1:19" x14ac:dyDescent="0.25">
      <c r="A21" s="119" t="s">
        <v>78</v>
      </c>
      <c r="B21" s="55" t="s">
        <v>89</v>
      </c>
      <c r="C21" s="55"/>
      <c r="D21" s="55"/>
      <c r="E21" s="120">
        <v>0</v>
      </c>
      <c r="F21" s="121"/>
    </row>
    <row r="22" spans="1:19" ht="15.75" thickBot="1" x14ac:dyDescent="0.3">
      <c r="A22" s="122" t="s">
        <v>84</v>
      </c>
      <c r="B22" s="123" t="s">
        <v>90</v>
      </c>
      <c r="C22" s="124"/>
      <c r="D22" s="124"/>
      <c r="E22" s="125">
        <v>0</v>
      </c>
      <c r="F22" s="126"/>
    </row>
    <row r="23" spans="1:19" s="53" customFormat="1" ht="15.75" thickTop="1" x14ac:dyDescent="0.25">
      <c r="A23" s="17"/>
      <c r="B23" s="17"/>
      <c r="C23" s="17"/>
      <c r="D23" s="17"/>
      <c r="E23" s="127"/>
      <c r="F23" s="17"/>
    </row>
    <row r="24" spans="1:19" s="53" customFormat="1" x14ac:dyDescent="0.25">
      <c r="A24" s="17"/>
      <c r="B24" s="17"/>
      <c r="C24" s="17"/>
      <c r="D24" s="17"/>
      <c r="E24" s="127"/>
      <c r="F24" s="17"/>
    </row>
    <row r="25" spans="1:19" s="53" customFormat="1" x14ac:dyDescent="0.25">
      <c r="A25" s="17"/>
      <c r="B25" s="17"/>
      <c r="C25" s="17"/>
      <c r="D25" s="17"/>
      <c r="E25" s="127"/>
      <c r="F25" s="17"/>
    </row>
    <row r="26" spans="1:19" s="53" customFormat="1" x14ac:dyDescent="0.25">
      <c r="A26" s="17"/>
      <c r="B26" s="17"/>
      <c r="C26" s="17"/>
      <c r="D26" s="17"/>
      <c r="E26" s="127"/>
      <c r="F26" s="17"/>
    </row>
    <row r="27" spans="1:19" x14ac:dyDescent="0.25">
      <c r="A27" s="375" t="s">
        <v>56</v>
      </c>
      <c r="B27" s="376"/>
      <c r="C27" s="128" t="s">
        <v>27</v>
      </c>
      <c r="D27" s="333" t="s">
        <v>217</v>
      </c>
      <c r="E27" s="334"/>
      <c r="F27" s="381" t="s">
        <v>26</v>
      </c>
      <c r="G27" s="128" t="s">
        <v>27</v>
      </c>
      <c r="H27" s="333" t="s">
        <v>214</v>
      </c>
      <c r="I27" s="334"/>
    </row>
    <row r="28" spans="1:19" x14ac:dyDescent="0.25">
      <c r="A28" s="377"/>
      <c r="B28" s="378"/>
      <c r="C28" s="128" t="s">
        <v>28</v>
      </c>
      <c r="D28" s="333"/>
      <c r="E28" s="334"/>
      <c r="F28" s="382"/>
      <c r="G28" s="128" t="s">
        <v>28</v>
      </c>
      <c r="H28" s="333"/>
      <c r="I28" s="334"/>
    </row>
    <row r="29" spans="1:19" x14ac:dyDescent="0.25">
      <c r="A29" s="379"/>
      <c r="B29" s="380"/>
      <c r="C29" s="128" t="s">
        <v>29</v>
      </c>
      <c r="D29" s="333"/>
      <c r="E29" s="334"/>
      <c r="F29" s="383"/>
      <c r="G29" s="128" t="s">
        <v>29</v>
      </c>
      <c r="H29" s="333"/>
      <c r="I29" s="334"/>
    </row>
    <row r="37" spans="5:80" ht="15.75" thickBot="1" x14ac:dyDescent="0.3">
      <c r="M37" t="s">
        <v>187</v>
      </c>
    </row>
    <row r="38" spans="5:80" x14ac:dyDescent="0.25">
      <c r="F38" s="266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8"/>
    </row>
    <row r="39" spans="5:80" x14ac:dyDescent="0.25">
      <c r="F39" s="269"/>
      <c r="G39" s="270"/>
      <c r="H39" s="270"/>
      <c r="I39" s="270"/>
      <c r="J39" s="270" t="s">
        <v>180</v>
      </c>
      <c r="K39" s="67">
        <f>344+25871</f>
        <v>26215</v>
      </c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</row>
    <row r="40" spans="5:80" x14ac:dyDescent="0.25">
      <c r="F40" s="269"/>
      <c r="G40" s="270"/>
      <c r="H40" s="270"/>
      <c r="I40" s="270"/>
      <c r="J40" s="270" t="s">
        <v>182</v>
      </c>
      <c r="K40" s="67">
        <v>4285</v>
      </c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1"/>
    </row>
    <row r="41" spans="5:80" x14ac:dyDescent="0.25">
      <c r="F41" s="269"/>
      <c r="G41" s="270"/>
      <c r="H41" s="270"/>
      <c r="I41" s="270"/>
      <c r="J41" s="270" t="s">
        <v>185</v>
      </c>
      <c r="K41" s="67">
        <v>14000</v>
      </c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1"/>
    </row>
    <row r="42" spans="5:80" s="236" customFormat="1" ht="15.75" x14ac:dyDescent="0.25">
      <c r="E42" s="237"/>
      <c r="F42" s="246"/>
      <c r="G42" s="247"/>
      <c r="H42" s="272"/>
      <c r="I42" s="247"/>
      <c r="J42" s="247" t="s">
        <v>186</v>
      </c>
      <c r="K42" s="273">
        <f>SUM(K39:K41)</f>
        <v>44500</v>
      </c>
      <c r="L42" s="247"/>
      <c r="M42" s="274"/>
      <c r="N42" s="274"/>
      <c r="O42" s="247"/>
      <c r="P42" s="272"/>
      <c r="Q42" s="272"/>
      <c r="R42" s="247"/>
      <c r="S42" s="274"/>
      <c r="T42" s="274" t="s">
        <v>180</v>
      </c>
      <c r="U42" s="272"/>
      <c r="V42" s="247" t="s">
        <v>181</v>
      </c>
      <c r="W42" s="275"/>
      <c r="AL42" s="236">
        <v>8551</v>
      </c>
      <c r="AM42" s="238"/>
      <c r="AN42" s="238"/>
      <c r="AO42" s="238"/>
      <c r="AP42" s="238"/>
      <c r="AQ42" s="238"/>
    </row>
    <row r="43" spans="5:80" s="236" customFormat="1" ht="15.75" x14ac:dyDescent="0.25">
      <c r="E43" s="237"/>
      <c r="F43" s="246"/>
      <c r="G43" s="247"/>
      <c r="H43" s="272"/>
      <c r="I43" s="247"/>
      <c r="J43" s="247"/>
      <c r="K43" s="247"/>
      <c r="L43" s="247"/>
      <c r="M43" s="274"/>
      <c r="N43" s="274"/>
      <c r="O43" s="247"/>
      <c r="P43" s="272"/>
      <c r="Q43" s="272"/>
      <c r="R43" s="247"/>
      <c r="S43" s="274"/>
      <c r="T43" s="274"/>
      <c r="U43" s="272"/>
      <c r="V43" s="247"/>
      <c r="W43" s="275"/>
      <c r="AM43" s="238"/>
      <c r="AN43" s="238">
        <f>AN40*2</f>
        <v>0</v>
      </c>
      <c r="AO43" s="238"/>
      <c r="AP43" s="238"/>
      <c r="AQ43" s="238"/>
      <c r="AY43" s="236">
        <f>36977+36978</f>
        <v>73955</v>
      </c>
    </row>
    <row r="44" spans="5:80" s="236" customFormat="1" ht="15.75" x14ac:dyDescent="0.25">
      <c r="F44" s="246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>
        <v>0.18705516340963227</v>
      </c>
      <c r="U44" s="247"/>
      <c r="V44" s="247">
        <v>0.19008534632591317</v>
      </c>
      <c r="W44" s="248"/>
      <c r="BL44" s="236" t="s">
        <v>169</v>
      </c>
      <c r="BN44" s="236" t="s">
        <v>170</v>
      </c>
    </row>
    <row r="45" spans="5:80" s="236" customFormat="1" ht="15.75" x14ac:dyDescent="0.25">
      <c r="F45" s="246"/>
      <c r="G45" s="247"/>
      <c r="H45" s="247"/>
      <c r="I45" s="247"/>
      <c r="J45" s="247"/>
      <c r="K45" s="285" t="s">
        <v>186</v>
      </c>
      <c r="L45" s="247" t="s">
        <v>185</v>
      </c>
      <c r="M45" s="247" t="s">
        <v>182</v>
      </c>
      <c r="N45" s="247" t="s">
        <v>180</v>
      </c>
      <c r="O45" s="247"/>
      <c r="P45" s="247"/>
      <c r="Q45" s="247"/>
      <c r="R45" s="247"/>
      <c r="S45" s="247"/>
      <c r="T45" s="247">
        <v>0.10752130786464636</v>
      </c>
      <c r="U45" s="247"/>
      <c r="V45" s="247">
        <v>0.1052132373950965</v>
      </c>
      <c r="W45" s="248"/>
      <c r="AN45" s="240">
        <f>AM40+AN43+AQ40+AX40</f>
        <v>0</v>
      </c>
      <c r="BU45" s="236" t="s">
        <v>171</v>
      </c>
      <c r="BV45" s="236" t="s">
        <v>172</v>
      </c>
      <c r="BW45" s="236" t="s">
        <v>173</v>
      </c>
      <c r="BX45" s="236" t="s">
        <v>174</v>
      </c>
      <c r="BY45" s="236" t="s">
        <v>175</v>
      </c>
    </row>
    <row r="46" spans="5:80" s="236" customFormat="1" ht="15.75" x14ac:dyDescent="0.25">
      <c r="F46" s="246"/>
      <c r="G46" s="247"/>
      <c r="H46" s="247"/>
      <c r="I46" s="247"/>
      <c r="J46" s="247"/>
      <c r="K46" s="295">
        <f>SUM(L46:N46)</f>
        <v>37611.43580636743</v>
      </c>
      <c r="L46" s="247">
        <f>K41*F55</f>
        <v>7111.4358063674281</v>
      </c>
      <c r="M46" s="273">
        <f>K40</f>
        <v>4285</v>
      </c>
      <c r="N46" s="273">
        <f>K39</f>
        <v>26215</v>
      </c>
      <c r="O46" s="296" t="s">
        <v>171</v>
      </c>
      <c r="P46" s="247"/>
      <c r="Q46" s="247"/>
      <c r="R46" s="247"/>
      <c r="S46" s="247"/>
      <c r="T46" s="276">
        <v>0.29457647127427866</v>
      </c>
      <c r="U46" s="276">
        <v>0</v>
      </c>
      <c r="V46" s="276">
        <v>0.2952985837210097</v>
      </c>
      <c r="W46" s="248"/>
      <c r="AN46" s="238"/>
      <c r="AO46" s="238"/>
      <c r="AP46" s="238"/>
      <c r="AQ46" s="238"/>
      <c r="AV46" s="240"/>
      <c r="BG46" s="236" t="s">
        <v>176</v>
      </c>
      <c r="BL46" s="236">
        <v>6.4866183449508133E-2</v>
      </c>
      <c r="BN46" s="236">
        <v>4.9717569192105841E-2</v>
      </c>
      <c r="BU46" s="241">
        <v>11683073.313644655</v>
      </c>
      <c r="BV46" s="241">
        <v>6398292.8144555185</v>
      </c>
      <c r="BW46" s="241">
        <v>2860060.2218998251</v>
      </c>
      <c r="BX46" s="241">
        <v>2058574.05</v>
      </c>
      <c r="BY46" s="236">
        <v>23000000.399999999</v>
      </c>
      <c r="CB46" s="236">
        <f>CA58/34300</f>
        <v>0.14988338192419826</v>
      </c>
    </row>
    <row r="47" spans="5:80" s="236" customFormat="1" ht="15.75" x14ac:dyDescent="0.25">
      <c r="E47" s="237"/>
      <c r="F47" s="246"/>
      <c r="G47" s="247"/>
      <c r="H47" s="272"/>
      <c r="I47" s="247"/>
      <c r="J47" s="247"/>
      <c r="K47" s="285">
        <f t="shared" ref="K47:K55" si="9">SUM(L47:N47)</f>
        <v>0</v>
      </c>
      <c r="L47" s="247"/>
      <c r="M47" s="274"/>
      <c r="N47" s="274"/>
      <c r="O47" s="247"/>
      <c r="P47" s="272"/>
      <c r="Q47" s="272"/>
      <c r="R47" s="247"/>
      <c r="S47" s="274"/>
      <c r="T47" s="274">
        <v>8.5754501170947683E-2</v>
      </c>
      <c r="U47" s="272"/>
      <c r="V47" s="247">
        <v>8.7143673325866214E-2</v>
      </c>
      <c r="W47" s="275"/>
      <c r="AM47" s="238"/>
      <c r="AN47" s="238"/>
      <c r="AO47" s="238"/>
      <c r="AP47" s="238"/>
      <c r="AQ47" s="238"/>
      <c r="BG47" s="236" t="s">
        <v>177</v>
      </c>
      <c r="BL47" s="236">
        <v>3.9982710660409149E-2</v>
      </c>
      <c r="BN47" s="236">
        <v>4.0630406904561774E-2</v>
      </c>
    </row>
    <row r="48" spans="5:80" s="236" customFormat="1" ht="15.75" x14ac:dyDescent="0.25">
      <c r="E48" s="237"/>
      <c r="F48" s="246"/>
      <c r="G48" s="247"/>
      <c r="H48" s="272"/>
      <c r="I48" s="247"/>
      <c r="J48" s="247"/>
      <c r="K48" s="285">
        <f t="shared" si="9"/>
        <v>0</v>
      </c>
      <c r="L48" s="247"/>
      <c r="M48" s="274"/>
      <c r="N48" s="274"/>
      <c r="O48" s="247"/>
      <c r="P48" s="272"/>
      <c r="Q48" s="272"/>
      <c r="R48" s="247"/>
      <c r="S48" s="274"/>
      <c r="T48" s="274">
        <v>0.10752130786464636</v>
      </c>
      <c r="U48" s="272"/>
      <c r="V48" s="247">
        <v>0.1052132373950965</v>
      </c>
      <c r="W48" s="275"/>
      <c r="AM48" s="238"/>
      <c r="AN48" s="238"/>
      <c r="AO48" s="238"/>
      <c r="AP48" s="238"/>
      <c r="AQ48" s="238"/>
      <c r="BG48" s="236" t="s">
        <v>178</v>
      </c>
      <c r="BL48" s="236">
        <v>0.11544551432001571</v>
      </c>
      <c r="BN48" s="236">
        <v>0.11731566331177436</v>
      </c>
    </row>
    <row r="49" spans="5:85" s="236" customFormat="1" ht="15.75" x14ac:dyDescent="0.25">
      <c r="E49" s="237"/>
      <c r="F49" s="246"/>
      <c r="G49" s="247"/>
      <c r="H49" s="272"/>
      <c r="I49" s="247"/>
      <c r="J49" s="247"/>
      <c r="K49" s="295">
        <f t="shared" si="9"/>
        <v>1740.9061917493514</v>
      </c>
      <c r="L49" s="247">
        <f>K41*H55</f>
        <v>1740.9061917493514</v>
      </c>
      <c r="M49" s="247">
        <v>0</v>
      </c>
      <c r="N49" s="247">
        <v>0</v>
      </c>
      <c r="O49" s="296" t="s">
        <v>173</v>
      </c>
      <c r="P49" s="272"/>
      <c r="Q49" s="272"/>
      <c r="R49" s="247"/>
      <c r="S49" s="274"/>
      <c r="T49" s="277">
        <v>0.19327580903559405</v>
      </c>
      <c r="U49" s="278">
        <v>0</v>
      </c>
      <c r="V49" s="276">
        <v>0.19235691072096273</v>
      </c>
      <c r="W49" s="275"/>
      <c r="AM49" s="238"/>
      <c r="AN49" s="238"/>
      <c r="AO49" s="238"/>
      <c r="AP49" s="238"/>
      <c r="AQ49" s="238"/>
      <c r="BG49" s="236" t="s">
        <v>179</v>
      </c>
      <c r="BL49" s="236">
        <v>0.20979082302865248</v>
      </c>
      <c r="BN49" s="236">
        <v>0.21318931017194406</v>
      </c>
      <c r="BU49" s="236">
        <f>BU46/BY46</f>
        <v>0.50795970045481631</v>
      </c>
      <c r="BV49" s="236">
        <f>BV46/BY46</f>
        <v>0.27818663926873316</v>
      </c>
      <c r="BW49" s="236">
        <f>BW46/BY46</f>
        <v>0.12435044226781081</v>
      </c>
      <c r="BX49" s="236">
        <f>BX46/BY46</f>
        <v>8.9503218008639696E-2</v>
      </c>
      <c r="CB49" s="236">
        <f>34500*CB46</f>
        <v>5170.9766763848402</v>
      </c>
    </row>
    <row r="50" spans="5:85" s="236" customFormat="1" ht="15.75" x14ac:dyDescent="0.25">
      <c r="E50" s="237"/>
      <c r="F50" s="246"/>
      <c r="G50" s="247"/>
      <c r="H50" s="272"/>
      <c r="I50" s="247"/>
      <c r="J50" s="247"/>
      <c r="K50" s="285">
        <f t="shared" si="9"/>
        <v>0</v>
      </c>
      <c r="L50" s="247"/>
      <c r="M50" s="274"/>
      <c r="N50" s="274"/>
      <c r="O50" s="247"/>
      <c r="P50" s="272"/>
      <c r="Q50" s="272"/>
      <c r="R50" s="247"/>
      <c r="S50" s="274"/>
      <c r="T50" s="274">
        <v>0.1485525519804175</v>
      </c>
      <c r="U50" s="272"/>
      <c r="V50" s="247">
        <v>0.15095901538391751</v>
      </c>
      <c r="W50" s="275"/>
      <c r="AM50" s="238"/>
      <c r="AN50" s="238"/>
      <c r="AO50" s="238"/>
      <c r="AP50" s="238"/>
      <c r="AQ50" s="238"/>
      <c r="BL50" s="236">
        <f>SUM(BL46:BL49)</f>
        <v>0.43008523145858546</v>
      </c>
      <c r="BM50" s="236">
        <f t="shared" ref="BM50:BN50" si="10">SUM(BM46:BM49)</f>
        <v>0</v>
      </c>
      <c r="BN50" s="236">
        <f t="shared" si="10"/>
        <v>0.42085294958038599</v>
      </c>
    </row>
    <row r="51" spans="5:85" s="236" customFormat="1" ht="15.75" x14ac:dyDescent="0.25">
      <c r="E51" s="237"/>
      <c r="F51" s="246" t="s">
        <v>171</v>
      </c>
      <c r="G51" s="247" t="s">
        <v>172</v>
      </c>
      <c r="H51" s="247" t="s">
        <v>173</v>
      </c>
      <c r="I51" s="247" t="s">
        <v>174</v>
      </c>
      <c r="J51" s="247"/>
      <c r="K51" s="285">
        <f t="shared" si="9"/>
        <v>0</v>
      </c>
      <c r="L51" s="247"/>
      <c r="M51" s="274"/>
      <c r="N51" s="274"/>
      <c r="O51" s="247"/>
      <c r="P51" s="272"/>
      <c r="Q51" s="272"/>
      <c r="R51" s="247"/>
      <c r="S51" s="274"/>
      <c r="T51" s="274">
        <v>0.10752130786464636</v>
      </c>
      <c r="U51" s="272"/>
      <c r="V51" s="247">
        <v>0.1052132373950965</v>
      </c>
      <c r="W51" s="275"/>
      <c r="AM51" s="238"/>
      <c r="AN51" s="238"/>
      <c r="AO51" s="238"/>
      <c r="AP51" s="238"/>
      <c r="AQ51" s="238"/>
    </row>
    <row r="52" spans="5:85" s="236" customFormat="1" ht="15.75" x14ac:dyDescent="0.25">
      <c r="E52" s="237"/>
      <c r="F52" s="313">
        <v>11683073.313644655</v>
      </c>
      <c r="G52" s="314">
        <v>6398292.8144555185</v>
      </c>
      <c r="H52" s="314">
        <v>2860060.2218998251</v>
      </c>
      <c r="I52" s="314">
        <v>2058574.05</v>
      </c>
      <c r="J52" s="247"/>
      <c r="K52" s="295">
        <f t="shared" si="9"/>
        <v>3894.6129497622642</v>
      </c>
      <c r="L52" s="247">
        <f>K41*G55</f>
        <v>3894.6129497622642</v>
      </c>
      <c r="M52" s="247"/>
      <c r="N52" s="247"/>
      <c r="O52" s="296" t="s">
        <v>172</v>
      </c>
      <c r="P52" s="272"/>
      <c r="Q52" s="272"/>
      <c r="R52" s="247"/>
      <c r="S52" s="274"/>
      <c r="T52" s="277">
        <v>0.25607385984506387</v>
      </c>
      <c r="U52" s="278"/>
      <c r="V52" s="276">
        <v>0.25617225277901401</v>
      </c>
      <c r="W52" s="275"/>
      <c r="AM52" s="238"/>
      <c r="AN52" s="238"/>
      <c r="AO52" s="238"/>
      <c r="AP52" s="238"/>
      <c r="AQ52" s="238"/>
      <c r="BL52" s="236">
        <f>BL50/4</f>
        <v>0.10752130786464636</v>
      </c>
      <c r="BN52" s="236">
        <f t="shared" ref="BN52" si="11">BN50/4</f>
        <v>0.1052132373950965</v>
      </c>
    </row>
    <row r="53" spans="5:85" s="236" customFormat="1" ht="15.75" x14ac:dyDescent="0.25">
      <c r="E53" s="237"/>
      <c r="F53" s="246"/>
      <c r="G53" s="247"/>
      <c r="H53" s="247"/>
      <c r="I53" s="247"/>
      <c r="J53" s="247"/>
      <c r="K53" s="285">
        <f t="shared" si="9"/>
        <v>0</v>
      </c>
      <c r="L53" s="247"/>
      <c r="M53" s="274"/>
      <c r="N53" s="274"/>
      <c r="O53" s="247"/>
      <c r="P53" s="272"/>
      <c r="Q53" s="272"/>
      <c r="R53" s="247"/>
      <c r="S53" s="274"/>
      <c r="T53" s="274">
        <v>0.1485525519804175</v>
      </c>
      <c r="U53" s="272"/>
      <c r="V53" s="247">
        <v>0.15095901538391751</v>
      </c>
      <c r="W53" s="275"/>
      <c r="AM53" s="238"/>
      <c r="AN53" s="238"/>
      <c r="AO53" s="238"/>
      <c r="AP53" s="238"/>
      <c r="AQ53" s="238"/>
    </row>
    <row r="54" spans="5:85" s="236" customFormat="1" ht="15.75" x14ac:dyDescent="0.25">
      <c r="E54" s="237"/>
      <c r="F54" s="246"/>
      <c r="G54" s="247"/>
      <c r="H54" s="247"/>
      <c r="I54" s="247"/>
      <c r="J54" s="247"/>
      <c r="K54" s="285">
        <f t="shared" si="9"/>
        <v>0</v>
      </c>
      <c r="L54" s="247"/>
      <c r="M54" s="274"/>
      <c r="N54" s="274"/>
      <c r="O54" s="247"/>
      <c r="P54" s="272"/>
      <c r="Q54" s="272"/>
      <c r="R54" s="247"/>
      <c r="S54" s="274"/>
      <c r="T54" s="274">
        <v>0.10752130786464636</v>
      </c>
      <c r="U54" s="272"/>
      <c r="V54" s="247">
        <v>0.1052132373950965</v>
      </c>
      <c r="W54" s="275"/>
      <c r="AM54" s="238"/>
      <c r="AN54" s="238"/>
      <c r="AO54" s="238"/>
      <c r="AP54" s="238"/>
      <c r="AQ54" s="238"/>
    </row>
    <row r="55" spans="5:85" s="236" customFormat="1" ht="16.5" thickBot="1" x14ac:dyDescent="0.3">
      <c r="E55" s="237"/>
      <c r="F55" s="246">
        <v>0.50795970045481631</v>
      </c>
      <c r="G55" s="247">
        <v>0.27818663926873316</v>
      </c>
      <c r="H55" s="247">
        <v>0.12435044226781081</v>
      </c>
      <c r="I55" s="247">
        <v>8.9503218008639696E-2</v>
      </c>
      <c r="J55" s="247"/>
      <c r="K55" s="295">
        <f t="shared" si="9"/>
        <v>1253.0450521209557</v>
      </c>
      <c r="L55" s="247">
        <f>K41*I55</f>
        <v>1253.0450521209557</v>
      </c>
      <c r="M55" s="247"/>
      <c r="N55" s="247"/>
      <c r="O55" s="296" t="s">
        <v>183</v>
      </c>
      <c r="P55" s="272"/>
      <c r="Q55" s="272"/>
      <c r="R55" s="247"/>
      <c r="S55" s="274"/>
      <c r="T55" s="277">
        <v>0.25607385984506387</v>
      </c>
      <c r="U55" s="278">
        <v>0</v>
      </c>
      <c r="V55" s="276">
        <v>0.25617225277901401</v>
      </c>
      <c r="W55" s="275"/>
      <c r="AM55" s="238"/>
      <c r="AN55" s="238"/>
      <c r="AO55" s="238"/>
      <c r="AP55" s="238"/>
      <c r="AQ55" s="238"/>
    </row>
    <row r="56" spans="5:85" s="236" customFormat="1" ht="15.75" x14ac:dyDescent="0.25">
      <c r="E56" s="237"/>
      <c r="F56" s="246"/>
      <c r="G56" s="247"/>
      <c r="H56" s="272"/>
      <c r="I56" s="247"/>
      <c r="J56" s="247"/>
      <c r="K56" s="286"/>
      <c r="L56" s="247"/>
      <c r="M56" s="274"/>
      <c r="N56" s="274"/>
      <c r="O56" s="247"/>
      <c r="P56" s="272"/>
      <c r="Q56" s="272"/>
      <c r="R56" s="247"/>
      <c r="S56" s="274"/>
      <c r="T56" s="274"/>
      <c r="U56" s="272"/>
      <c r="V56" s="247"/>
      <c r="W56" s="275"/>
      <c r="AM56" s="238"/>
      <c r="AN56" s="238"/>
      <c r="AO56" s="238"/>
      <c r="AP56" s="238"/>
      <c r="AQ56" s="238"/>
      <c r="BR56" s="242"/>
      <c r="BS56" s="243">
        <v>2018</v>
      </c>
      <c r="BT56" s="244"/>
      <c r="BU56" s="245"/>
      <c r="BV56" s="242"/>
      <c r="BW56" s="243">
        <v>2019</v>
      </c>
      <c r="BX56" s="244"/>
      <c r="BY56" s="245"/>
      <c r="BZ56" s="242"/>
      <c r="CA56" s="243">
        <v>2020</v>
      </c>
      <c r="CB56" s="244"/>
      <c r="CC56" s="245"/>
      <c r="CD56" s="242"/>
      <c r="CE56" s="243">
        <v>2021</v>
      </c>
      <c r="CF56" s="244"/>
      <c r="CG56" s="245"/>
    </row>
    <row r="57" spans="5:85" s="236" customFormat="1" ht="15.75" x14ac:dyDescent="0.25">
      <c r="E57" s="237"/>
      <c r="F57" s="246"/>
      <c r="G57" s="247"/>
      <c r="H57" s="272"/>
      <c r="I57" s="247"/>
      <c r="J57" s="247"/>
      <c r="K57" s="286">
        <f>SUM(K46:K56)</f>
        <v>44500</v>
      </c>
      <c r="L57" s="274">
        <f t="shared" ref="L57:N57" si="12">SUM(L46:L56)</f>
        <v>13999.999999999998</v>
      </c>
      <c r="M57" s="274">
        <f t="shared" si="12"/>
        <v>4285</v>
      </c>
      <c r="N57" s="274">
        <f t="shared" si="12"/>
        <v>26215</v>
      </c>
      <c r="O57" s="247"/>
      <c r="P57" s="272"/>
      <c r="Q57" s="272"/>
      <c r="R57" s="247"/>
      <c r="S57" s="274"/>
      <c r="T57" s="274"/>
      <c r="U57" s="272"/>
      <c r="V57" s="247"/>
      <c r="W57" s="275"/>
      <c r="AM57" s="238"/>
      <c r="AN57" s="238"/>
      <c r="AO57" s="238"/>
      <c r="AP57" s="238"/>
      <c r="AQ57" s="238"/>
      <c r="BL57" s="236" t="s">
        <v>180</v>
      </c>
      <c r="BN57" s="236" t="s">
        <v>181</v>
      </c>
      <c r="BP57" s="236">
        <v>602</v>
      </c>
      <c r="BR57" s="246" t="s">
        <v>180</v>
      </c>
      <c r="BS57" s="247" t="s">
        <v>182</v>
      </c>
      <c r="BT57" s="247">
        <v>602</v>
      </c>
      <c r="BU57" s="248" t="s">
        <v>175</v>
      </c>
      <c r="BV57" s="246" t="s">
        <v>180</v>
      </c>
      <c r="BW57" s="247" t="s">
        <v>182</v>
      </c>
      <c r="BX57" s="247">
        <v>602</v>
      </c>
      <c r="BY57" s="248" t="s">
        <v>175</v>
      </c>
      <c r="BZ57" s="246" t="s">
        <v>180</v>
      </c>
      <c r="CA57" s="247" t="s">
        <v>182</v>
      </c>
      <c r="CB57" s="247">
        <v>602</v>
      </c>
      <c r="CC57" s="248">
        <v>231</v>
      </c>
      <c r="CD57" s="246" t="s">
        <v>180</v>
      </c>
      <c r="CE57" s="247" t="s">
        <v>182</v>
      </c>
      <c r="CF57" s="247">
        <v>602</v>
      </c>
      <c r="CG57" s="248">
        <v>231</v>
      </c>
    </row>
    <row r="58" spans="5:85" s="236" customFormat="1" ht="15.75" x14ac:dyDescent="0.25">
      <c r="E58" s="237"/>
      <c r="F58" s="246"/>
      <c r="G58" s="247"/>
      <c r="H58" s="272"/>
      <c r="I58" s="247"/>
      <c r="J58" s="247"/>
      <c r="K58" s="274"/>
      <c r="L58" s="247"/>
      <c r="M58" s="274"/>
      <c r="N58" s="274"/>
      <c r="O58" s="247"/>
      <c r="P58" s="272"/>
      <c r="Q58" s="272"/>
      <c r="R58" s="247"/>
      <c r="S58" s="274"/>
      <c r="T58" s="274"/>
      <c r="U58" s="272"/>
      <c r="V58" s="247"/>
      <c r="W58" s="275"/>
      <c r="AM58" s="238"/>
      <c r="AN58" s="238"/>
      <c r="AO58" s="238"/>
      <c r="AP58" s="238"/>
      <c r="AQ58" s="238"/>
      <c r="BR58" s="249">
        <v>29159</v>
      </c>
      <c r="BS58" s="250">
        <v>5141</v>
      </c>
      <c r="BT58" s="250">
        <v>23000</v>
      </c>
      <c r="BU58" s="251">
        <f>BR58+BS58+BT58</f>
        <v>57300</v>
      </c>
      <c r="BV58" s="249">
        <v>29159</v>
      </c>
      <c r="BW58" s="250">
        <v>5141</v>
      </c>
      <c r="BX58" s="250">
        <v>23100</v>
      </c>
      <c r="BY58" s="251">
        <f>SUM(BV58:BX58)</f>
        <v>57400</v>
      </c>
      <c r="BZ58" s="249">
        <v>29159</v>
      </c>
      <c r="CA58" s="250">
        <v>5141</v>
      </c>
      <c r="CB58" s="250">
        <v>23700</v>
      </c>
      <c r="CC58" s="252">
        <f>SUM(BZ58:CB58)</f>
        <v>58000</v>
      </c>
      <c r="CD58" s="249">
        <f>34500-5171</f>
        <v>29329</v>
      </c>
      <c r="CE58" s="250">
        <v>5171</v>
      </c>
      <c r="CF58" s="250">
        <v>24000</v>
      </c>
      <c r="CG58" s="252">
        <f>SUM(CD58:CF58)</f>
        <v>58500</v>
      </c>
    </row>
    <row r="59" spans="5:85" s="236" customFormat="1" ht="15.75" x14ac:dyDescent="0.25">
      <c r="E59" s="237"/>
      <c r="F59" s="246"/>
      <c r="G59" s="247"/>
      <c r="H59" s="272"/>
      <c r="I59" s="247"/>
      <c r="J59" s="247"/>
      <c r="K59" s="279">
        <f>K57-K42</f>
        <v>0</v>
      </c>
      <c r="L59" s="273">
        <f>L57-K41</f>
        <v>0</v>
      </c>
      <c r="M59" s="279">
        <f>M57-K40</f>
        <v>0</v>
      </c>
      <c r="N59" s="279">
        <f>N57-K39</f>
        <v>0</v>
      </c>
      <c r="O59" s="247"/>
      <c r="P59" s="272"/>
      <c r="Q59" s="272"/>
      <c r="R59" s="247"/>
      <c r="S59" s="274"/>
      <c r="T59" s="274"/>
      <c r="U59" s="272"/>
      <c r="V59" s="247"/>
      <c r="W59" s="275"/>
      <c r="AM59" s="238"/>
      <c r="AN59" s="238"/>
      <c r="AO59" s="238"/>
      <c r="AP59" s="238"/>
      <c r="AQ59" s="238"/>
      <c r="BL59" s="236">
        <v>0.18705516340963227</v>
      </c>
      <c r="BN59" s="236">
        <v>0.19008534632591317</v>
      </c>
      <c r="BR59" s="253"/>
      <c r="BS59" s="254"/>
      <c r="BT59" s="254"/>
      <c r="BU59" s="255"/>
      <c r="BV59" s="253"/>
      <c r="BW59" s="254"/>
      <c r="BX59" s="254"/>
      <c r="BY59" s="255"/>
      <c r="BZ59" s="253"/>
      <c r="CA59" s="254"/>
      <c r="CB59" s="254"/>
      <c r="CC59" s="255"/>
      <c r="CD59" s="253"/>
      <c r="CE59" s="254"/>
      <c r="CF59" s="254"/>
      <c r="CG59" s="255"/>
    </row>
    <row r="60" spans="5:85" s="236" customFormat="1" ht="16.5" thickBot="1" x14ac:dyDescent="0.3">
      <c r="E60" s="237"/>
      <c r="F60" s="246"/>
      <c r="G60" s="247"/>
      <c r="H60" s="272"/>
      <c r="I60" s="247"/>
      <c r="J60" s="247"/>
      <c r="K60" s="274"/>
      <c r="L60" s="247"/>
      <c r="M60" s="274"/>
      <c r="N60" s="274"/>
      <c r="O60" s="247"/>
      <c r="P60" s="272"/>
      <c r="Q60" s="272"/>
      <c r="R60" s="247"/>
      <c r="S60" s="274"/>
      <c r="T60" s="274"/>
      <c r="U60" s="272"/>
      <c r="V60" s="247"/>
      <c r="W60" s="275"/>
      <c r="AM60" s="238"/>
      <c r="AN60" s="238"/>
      <c r="AO60" s="238"/>
      <c r="AP60" s="238"/>
      <c r="AQ60" s="238"/>
      <c r="BL60" s="236">
        <v>0.10752130786464636</v>
      </c>
      <c r="BN60" s="236">
        <v>0.1052132373950965</v>
      </c>
      <c r="BR60" s="253"/>
      <c r="BS60" s="254"/>
      <c r="BT60" s="254"/>
      <c r="BU60" s="255"/>
      <c r="BV60" s="253"/>
      <c r="BW60" s="254"/>
      <c r="BX60" s="254"/>
      <c r="BY60" s="255"/>
      <c r="BZ60" s="253"/>
      <c r="CA60" s="254"/>
      <c r="CB60" s="254"/>
      <c r="CC60" s="255"/>
      <c r="CD60" s="253"/>
      <c r="CE60" s="254"/>
      <c r="CF60" s="254"/>
      <c r="CG60" s="255"/>
    </row>
    <row r="61" spans="5:85" s="236" customFormat="1" ht="16.5" thickBot="1" x14ac:dyDescent="0.3">
      <c r="E61" s="237"/>
      <c r="F61" s="280"/>
      <c r="G61" s="281"/>
      <c r="H61" s="282"/>
      <c r="I61" s="281"/>
      <c r="J61" s="281"/>
      <c r="K61" s="283"/>
      <c r="L61" s="281"/>
      <c r="M61" s="283"/>
      <c r="N61" s="283"/>
      <c r="O61" s="281"/>
      <c r="P61" s="282"/>
      <c r="Q61" s="282"/>
      <c r="R61" s="281"/>
      <c r="S61" s="283"/>
      <c r="T61" s="283"/>
      <c r="U61" s="282"/>
      <c r="V61" s="281"/>
      <c r="W61" s="284"/>
      <c r="AM61" s="238"/>
      <c r="AN61" s="238"/>
      <c r="AO61" s="238"/>
      <c r="AP61" s="238"/>
      <c r="AQ61" s="238"/>
      <c r="BG61" s="256" t="s">
        <v>171</v>
      </c>
      <c r="BH61" s="257"/>
      <c r="BI61" s="257"/>
      <c r="BJ61" s="257"/>
      <c r="BK61" s="258"/>
      <c r="BL61" s="259">
        <f>SUM(BL59:BL60)</f>
        <v>0.29457647127427866</v>
      </c>
      <c r="BM61" s="259">
        <f t="shared" ref="BM61:BN61" si="13">SUM(BM59:BM60)</f>
        <v>0</v>
      </c>
      <c r="BN61" s="259">
        <f t="shared" si="13"/>
        <v>0.2952985837210097</v>
      </c>
      <c r="BQ61" s="260" t="s">
        <v>171</v>
      </c>
      <c r="BR61" s="253">
        <f>BL61*BR58</f>
        <v>8589.5553258866912</v>
      </c>
      <c r="BS61" s="254">
        <f>BN61*BS58</f>
        <v>1518.1300189097108</v>
      </c>
      <c r="BT61" s="254">
        <v>11683</v>
      </c>
      <c r="BU61" s="255">
        <f>BR61+BS61+BT61</f>
        <v>21790.685344796402</v>
      </c>
      <c r="BV61" s="253">
        <v>8589.5553258866912</v>
      </c>
      <c r="BW61" s="254">
        <v>1518.1300189097108</v>
      </c>
      <c r="BX61" s="254">
        <v>11683</v>
      </c>
      <c r="BY61" s="255">
        <f>SUM(BV61:BX61)</f>
        <v>21790.685344796402</v>
      </c>
      <c r="BZ61" s="253">
        <v>8589.5553258866912</v>
      </c>
      <c r="CA61" s="254">
        <v>1518.1300189097108</v>
      </c>
      <c r="CB61" s="254">
        <v>11683</v>
      </c>
      <c r="CC61" s="255">
        <f>SUM(BZ61:CB61)</f>
        <v>21790.685344796402</v>
      </c>
      <c r="CD61" s="253">
        <f>CD58*BL61</f>
        <v>8639.6333260033189</v>
      </c>
      <c r="CE61" s="254">
        <f>BN61*CE58</f>
        <v>1526.9889764213412</v>
      </c>
      <c r="CF61" s="254">
        <v>11683</v>
      </c>
      <c r="CG61" s="255">
        <f>SUM(CD61:CF61)</f>
        <v>21849.622302424661</v>
      </c>
    </row>
    <row r="62" spans="5:85" s="236" customFormat="1" ht="15.75" x14ac:dyDescent="0.25">
      <c r="E62" s="237"/>
      <c r="H62" s="238"/>
      <c r="K62" s="239"/>
      <c r="M62" s="239"/>
      <c r="N62" s="239"/>
      <c r="P62" s="238"/>
      <c r="Q62" s="238"/>
      <c r="S62" s="239"/>
      <c r="T62" s="239"/>
      <c r="U62" s="238"/>
      <c r="W62" s="238"/>
      <c r="AM62" s="238"/>
      <c r="AN62" s="238"/>
      <c r="AO62" s="238"/>
      <c r="AP62" s="238"/>
      <c r="AQ62" s="238"/>
      <c r="BL62" s="236">
        <v>8.5754501170947683E-2</v>
      </c>
      <c r="BN62" s="236">
        <v>8.7143673325866214E-2</v>
      </c>
      <c r="BQ62" s="261"/>
      <c r="BR62" s="253"/>
      <c r="BS62" s="254"/>
      <c r="BT62" s="254"/>
      <c r="BU62" s="255"/>
      <c r="BV62" s="253"/>
      <c r="BW62" s="254"/>
      <c r="BX62" s="254"/>
      <c r="BY62" s="255"/>
      <c r="BZ62" s="253"/>
      <c r="CA62" s="254"/>
      <c r="CB62" s="254"/>
      <c r="CC62" s="255"/>
      <c r="CD62" s="253"/>
      <c r="CE62" s="254"/>
      <c r="CF62" s="254"/>
      <c r="CG62" s="255"/>
    </row>
    <row r="63" spans="5:85" s="236" customFormat="1" ht="16.5" thickBot="1" x14ac:dyDescent="0.3">
      <c r="E63" s="237"/>
      <c r="H63" s="238"/>
      <c r="K63" s="239"/>
      <c r="M63" s="239"/>
      <c r="N63" s="239"/>
      <c r="P63" s="238"/>
      <c r="Q63" s="238"/>
      <c r="S63" s="239"/>
      <c r="T63" s="239"/>
      <c r="U63" s="238"/>
      <c r="W63" s="238"/>
      <c r="AM63" s="238"/>
      <c r="AN63" s="238"/>
      <c r="AO63" s="238"/>
      <c r="AP63" s="238"/>
      <c r="AQ63" s="238"/>
      <c r="BL63" s="236">
        <v>0.10752130786464636</v>
      </c>
      <c r="BN63" s="236">
        <v>0.1052132373950965</v>
      </c>
      <c r="BQ63" s="262"/>
      <c r="BR63" s="253"/>
      <c r="BS63" s="254"/>
      <c r="BT63" s="254"/>
      <c r="BU63" s="255"/>
      <c r="BV63" s="253"/>
      <c r="BW63" s="254"/>
      <c r="BX63" s="254"/>
      <c r="BY63" s="255"/>
      <c r="BZ63" s="253"/>
      <c r="CA63" s="254"/>
      <c r="CB63" s="254"/>
      <c r="CC63" s="255"/>
      <c r="CD63" s="253"/>
      <c r="CE63" s="254"/>
      <c r="CF63" s="254"/>
      <c r="CG63" s="255"/>
    </row>
    <row r="64" spans="5:85" s="236" customFormat="1" ht="16.5" thickBot="1" x14ac:dyDescent="0.3">
      <c r="E64" s="237"/>
      <c r="H64" s="238"/>
      <c r="K64" s="239"/>
      <c r="M64" s="239"/>
      <c r="N64" s="239"/>
      <c r="P64" s="238"/>
      <c r="Q64" s="238"/>
      <c r="S64" s="239"/>
      <c r="T64" s="239"/>
      <c r="U64" s="238"/>
      <c r="W64" s="238"/>
      <c r="AM64" s="238"/>
      <c r="AN64" s="238"/>
      <c r="AO64" s="238"/>
      <c r="AP64" s="238"/>
      <c r="AQ64" s="238"/>
      <c r="BG64" s="256" t="s">
        <v>173</v>
      </c>
      <c r="BH64" s="257"/>
      <c r="BI64" s="257"/>
      <c r="BJ64" s="257"/>
      <c r="BK64" s="258"/>
      <c r="BL64" s="259">
        <f>SUM(BL62:BL63)</f>
        <v>0.19327580903559405</v>
      </c>
      <c r="BM64" s="259">
        <f t="shared" ref="BM64:BN64" si="14">SUM(BM62:BM63)</f>
        <v>0</v>
      </c>
      <c r="BN64" s="259">
        <f t="shared" si="14"/>
        <v>0.19235691072096273</v>
      </c>
      <c r="BQ64" s="260" t="s">
        <v>173</v>
      </c>
      <c r="BR64" s="253">
        <f>BL64*BR58</f>
        <v>5635.7293156688866</v>
      </c>
      <c r="BS64" s="254">
        <f>BN64*BS58</f>
        <v>988.90687801646936</v>
      </c>
      <c r="BT64" s="254">
        <v>2860</v>
      </c>
      <c r="BU64" s="255">
        <f>BR64+BS64+BT64</f>
        <v>9484.6361936853555</v>
      </c>
      <c r="BV64" s="253">
        <v>5635.7293156688866</v>
      </c>
      <c r="BW64" s="254">
        <v>988.90687801646936</v>
      </c>
      <c r="BX64" s="254">
        <v>2860</v>
      </c>
      <c r="BY64" s="255">
        <f>SUM(BV64:BX64)</f>
        <v>9484.6361936853555</v>
      </c>
      <c r="BZ64" s="253">
        <v>5635.7293156688866</v>
      </c>
      <c r="CA64" s="254">
        <v>988.90687801646936</v>
      </c>
      <c r="CB64" s="254">
        <v>2860</v>
      </c>
      <c r="CC64" s="255">
        <f>SUM(BZ64:CB64)</f>
        <v>9484.6361936853555</v>
      </c>
      <c r="CD64" s="253">
        <f>BL64*CD58</f>
        <v>5668.5862032049381</v>
      </c>
      <c r="CE64" s="254">
        <f>BN64*CE58</f>
        <v>994.67758533809831</v>
      </c>
      <c r="CF64" s="254">
        <v>2860</v>
      </c>
      <c r="CG64" s="255">
        <f>SUM(CD64:CF64)</f>
        <v>9523.2637885430377</v>
      </c>
    </row>
    <row r="65" spans="5:85" s="236" customFormat="1" ht="16.5" thickBot="1" x14ac:dyDescent="0.3">
      <c r="E65" s="237"/>
      <c r="H65" s="238"/>
      <c r="K65" s="239"/>
      <c r="M65" s="239" t="s">
        <v>188</v>
      </c>
      <c r="N65" s="239"/>
      <c r="P65" s="238"/>
      <c r="Q65" s="238"/>
      <c r="S65" s="239"/>
      <c r="T65" s="239"/>
      <c r="U65" s="238"/>
      <c r="W65" s="238"/>
      <c r="AM65" s="238"/>
      <c r="AN65" s="238"/>
      <c r="AO65" s="238"/>
      <c r="AP65" s="238"/>
      <c r="AQ65" s="238"/>
      <c r="BL65" s="236">
        <f>0.297105103960835/2</f>
        <v>0.1485525519804175</v>
      </c>
      <c r="BN65" s="236">
        <f>0.301918030767835/2</f>
        <v>0.15095901538391751</v>
      </c>
      <c r="BQ65" s="261"/>
      <c r="BR65" s="253"/>
      <c r="BS65" s="254"/>
      <c r="BT65" s="254"/>
      <c r="BU65" s="255"/>
      <c r="BV65" s="253"/>
      <c r="BW65" s="254"/>
      <c r="BX65" s="254"/>
      <c r="BY65" s="255"/>
      <c r="BZ65" s="253"/>
      <c r="CA65" s="254"/>
      <c r="CB65" s="254"/>
      <c r="CC65" s="255"/>
      <c r="CD65" s="253"/>
      <c r="CE65" s="254"/>
      <c r="CF65" s="254"/>
      <c r="CG65" s="255"/>
    </row>
    <row r="66" spans="5:85" s="236" customFormat="1" ht="16.5" thickBot="1" x14ac:dyDescent="0.3">
      <c r="E66" s="237"/>
      <c r="F66" s="242"/>
      <c r="G66" s="244"/>
      <c r="H66" s="287"/>
      <c r="I66" s="244"/>
      <c r="J66" s="267" t="s">
        <v>180</v>
      </c>
      <c r="K66" s="288">
        <f>Sheet2!H10+344</f>
        <v>25888</v>
      </c>
      <c r="L66" s="244"/>
      <c r="M66" s="289"/>
      <c r="N66" s="289"/>
      <c r="O66" s="244"/>
      <c r="P66" s="287"/>
      <c r="Q66" s="287"/>
      <c r="R66" s="244"/>
      <c r="S66" s="289"/>
      <c r="T66" s="289"/>
      <c r="U66" s="287"/>
      <c r="V66" s="244"/>
      <c r="W66" s="290"/>
      <c r="AM66" s="238"/>
      <c r="AN66" s="238"/>
      <c r="AO66" s="238"/>
      <c r="AP66" s="238"/>
      <c r="AQ66" s="238"/>
      <c r="BL66" s="236">
        <v>0.10752130786464636</v>
      </c>
      <c r="BN66" s="236">
        <v>0.1052132373950965</v>
      </c>
      <c r="BQ66" s="262"/>
      <c r="BR66" s="253"/>
      <c r="BS66" s="254"/>
      <c r="BT66" s="254"/>
      <c r="BU66" s="255"/>
      <c r="BV66" s="253"/>
      <c r="BW66" s="254"/>
      <c r="BX66" s="254"/>
      <c r="BY66" s="255"/>
      <c r="BZ66" s="253"/>
      <c r="CA66" s="254"/>
      <c r="CB66" s="254"/>
      <c r="CC66" s="255"/>
      <c r="CD66" s="253"/>
      <c r="CE66" s="254"/>
      <c r="CF66" s="254"/>
      <c r="CG66" s="255"/>
    </row>
    <row r="67" spans="5:85" s="236" customFormat="1" ht="16.5" thickBot="1" x14ac:dyDescent="0.3">
      <c r="E67" s="237"/>
      <c r="F67" s="246"/>
      <c r="G67" s="247"/>
      <c r="H67" s="272"/>
      <c r="I67" s="247"/>
      <c r="J67" s="270" t="s">
        <v>182</v>
      </c>
      <c r="K67" s="67">
        <f>Sheet2!H11</f>
        <v>4243</v>
      </c>
      <c r="L67" s="247"/>
      <c r="M67" s="274"/>
      <c r="N67" s="274"/>
      <c r="O67" s="247"/>
      <c r="P67" s="272"/>
      <c r="Q67" s="272"/>
      <c r="R67" s="247"/>
      <c r="S67" s="274"/>
      <c r="T67" s="274"/>
      <c r="U67" s="272"/>
      <c r="V67" s="247"/>
      <c r="W67" s="275"/>
      <c r="AM67" s="238"/>
      <c r="AN67" s="238"/>
      <c r="AO67" s="238"/>
      <c r="AP67" s="238"/>
      <c r="AQ67" s="238"/>
      <c r="BG67" s="256" t="s">
        <v>172</v>
      </c>
      <c r="BH67" s="257"/>
      <c r="BI67" s="257"/>
      <c r="BJ67" s="257"/>
      <c r="BK67" s="258"/>
      <c r="BL67" s="259">
        <f>SUM(BL65:BL66)</f>
        <v>0.25607385984506387</v>
      </c>
      <c r="BM67" s="259"/>
      <c r="BN67" s="259">
        <f t="shared" ref="BN67" si="15">SUM(BN65:BN66)</f>
        <v>0.25617225277901401</v>
      </c>
      <c r="BQ67" s="260" t="s">
        <v>172</v>
      </c>
      <c r="BR67" s="253">
        <f>BR58*BL67</f>
        <v>7466.8576792222175</v>
      </c>
      <c r="BS67" s="254">
        <f>BN67*BS58</f>
        <v>1316.981551536911</v>
      </c>
      <c r="BT67" s="254">
        <v>6398</v>
      </c>
      <c r="BU67" s="255">
        <f>BR67+BS67+BT67</f>
        <v>15181.839230759128</v>
      </c>
      <c r="BV67" s="253">
        <v>7466.8576792222175</v>
      </c>
      <c r="BW67" s="254">
        <v>1316.981551536911</v>
      </c>
      <c r="BX67" s="254">
        <v>6398</v>
      </c>
      <c r="BY67" s="255">
        <f>SUM(BV67:BX67)</f>
        <v>15181.839230759128</v>
      </c>
      <c r="BZ67" s="253">
        <v>7466.8576792222175</v>
      </c>
      <c r="CA67" s="254">
        <v>1316.981551536911</v>
      </c>
      <c r="CB67" s="254">
        <v>6898</v>
      </c>
      <c r="CC67" s="255">
        <f>SUM(BZ67:CB67)</f>
        <v>15681.839230759128</v>
      </c>
      <c r="CD67" s="253">
        <f>BL67*CD58</f>
        <v>7510.3902353958783</v>
      </c>
      <c r="CE67" s="254">
        <f>BN67*CE58</f>
        <v>1324.6667191202814</v>
      </c>
      <c r="CF67" s="254">
        <f>200+6898</f>
        <v>7098</v>
      </c>
      <c r="CG67" s="255">
        <f>SUM(CD67:CF67)</f>
        <v>15933.05695451616</v>
      </c>
    </row>
    <row r="68" spans="5:85" s="236" customFormat="1" ht="15.75" x14ac:dyDescent="0.25">
      <c r="E68" s="237"/>
      <c r="F68" s="246"/>
      <c r="G68" s="247"/>
      <c r="H68" s="272"/>
      <c r="I68" s="247"/>
      <c r="J68" s="270" t="s">
        <v>185</v>
      </c>
      <c r="K68" s="67">
        <f>Sheet2!H12</f>
        <v>12861</v>
      </c>
      <c r="L68" s="247"/>
      <c r="M68" s="274"/>
      <c r="N68" s="274"/>
      <c r="O68" s="247"/>
      <c r="P68" s="272"/>
      <c r="Q68" s="272"/>
      <c r="R68" s="247"/>
      <c r="S68" s="274"/>
      <c r="T68" s="274"/>
      <c r="U68" s="272"/>
      <c r="V68" s="247"/>
      <c r="W68" s="275"/>
      <c r="AM68" s="238"/>
      <c r="AN68" s="238"/>
      <c r="AO68" s="238"/>
      <c r="AP68" s="238"/>
      <c r="AQ68" s="238"/>
      <c r="BL68" s="236">
        <v>0.1485525519804175</v>
      </c>
      <c r="BN68" s="236">
        <v>0.15095901538391751</v>
      </c>
      <c r="BQ68" s="261"/>
      <c r="BR68" s="253"/>
      <c r="BS68" s="254"/>
      <c r="BT68" s="254"/>
      <c r="BU68" s="255"/>
      <c r="BV68" s="253"/>
      <c r="BW68" s="254"/>
      <c r="BX68" s="254"/>
      <c r="BY68" s="255"/>
      <c r="BZ68" s="253"/>
      <c r="CA68" s="254"/>
      <c r="CB68" s="254"/>
      <c r="CC68" s="255"/>
      <c r="CD68" s="253"/>
      <c r="CE68" s="254"/>
      <c r="CF68" s="254"/>
      <c r="CG68" s="255"/>
    </row>
    <row r="69" spans="5:85" s="236" customFormat="1" ht="16.5" thickBot="1" x14ac:dyDescent="0.3">
      <c r="E69" s="237"/>
      <c r="F69" s="246"/>
      <c r="G69" s="247"/>
      <c r="H69" s="272"/>
      <c r="I69" s="247"/>
      <c r="J69" s="247" t="s">
        <v>186</v>
      </c>
      <c r="K69" s="273">
        <f>SUM(K66:K68)</f>
        <v>42992</v>
      </c>
      <c r="L69" s="247"/>
      <c r="M69" s="274"/>
      <c r="N69" s="274"/>
      <c r="O69" s="247"/>
      <c r="P69" s="272"/>
      <c r="Q69" s="272"/>
      <c r="R69" s="247"/>
      <c r="S69" s="274"/>
      <c r="T69" s="274"/>
      <c r="U69" s="272"/>
      <c r="V69" s="247"/>
      <c r="W69" s="275"/>
      <c r="AM69" s="238"/>
      <c r="AN69" s="238"/>
      <c r="AO69" s="238"/>
      <c r="AP69" s="238"/>
      <c r="AQ69" s="238"/>
      <c r="BL69" s="236">
        <v>0.10752130786464636</v>
      </c>
      <c r="BN69" s="236">
        <v>0.1052132373950965</v>
      </c>
      <c r="BQ69" s="262"/>
      <c r="BR69" s="253"/>
      <c r="BS69" s="254"/>
      <c r="BT69" s="254"/>
      <c r="BU69" s="255"/>
      <c r="BV69" s="253"/>
      <c r="BW69" s="254"/>
      <c r="BX69" s="254"/>
      <c r="BY69" s="255"/>
      <c r="BZ69" s="253"/>
      <c r="CA69" s="254"/>
      <c r="CB69" s="254"/>
      <c r="CC69" s="255"/>
      <c r="CD69" s="253"/>
      <c r="CE69" s="254"/>
      <c r="CF69" s="254"/>
      <c r="CG69" s="255"/>
    </row>
    <row r="70" spans="5:85" s="236" customFormat="1" ht="16.5" thickBot="1" x14ac:dyDescent="0.3">
      <c r="E70" s="237"/>
      <c r="F70" s="246"/>
      <c r="G70" s="247"/>
      <c r="H70" s="272"/>
      <c r="I70" s="247"/>
      <c r="J70" s="247"/>
      <c r="K70" s="274"/>
      <c r="L70" s="247"/>
      <c r="M70" s="274"/>
      <c r="N70" s="274"/>
      <c r="O70" s="247"/>
      <c r="P70" s="272"/>
      <c r="Q70" s="272"/>
      <c r="R70" s="247"/>
      <c r="S70" s="274"/>
      <c r="T70" s="274"/>
      <c r="U70" s="272"/>
      <c r="V70" s="247"/>
      <c r="W70" s="275"/>
      <c r="AM70" s="238"/>
      <c r="AN70" s="238"/>
      <c r="AO70" s="238"/>
      <c r="AP70" s="238"/>
      <c r="AQ70" s="238"/>
      <c r="BG70" s="256" t="s">
        <v>183</v>
      </c>
      <c r="BH70" s="257"/>
      <c r="BI70" s="257"/>
      <c r="BJ70" s="257"/>
      <c r="BK70" s="258"/>
      <c r="BL70" s="259">
        <f>SUM(BL68:BL69)</f>
        <v>0.25607385984506387</v>
      </c>
      <c r="BM70" s="259">
        <f t="shared" ref="BM70:BN70" si="16">SUM(BM68:BM69)</f>
        <v>0</v>
      </c>
      <c r="BN70" s="259">
        <f t="shared" si="16"/>
        <v>0.25617225277901401</v>
      </c>
      <c r="BQ70" s="260" t="s">
        <v>184</v>
      </c>
      <c r="BR70" s="253">
        <f>BL70*BR58</f>
        <v>7466.8576792222175</v>
      </c>
      <c r="BS70" s="254">
        <f>BN70*BS58</f>
        <v>1316.981551536911</v>
      </c>
      <c r="BT70" s="254">
        <v>2059</v>
      </c>
      <c r="BU70" s="255">
        <f>BR70+BS70+BT70</f>
        <v>10842.839230759128</v>
      </c>
      <c r="BV70" s="253">
        <v>7466.8576792222175</v>
      </c>
      <c r="BW70" s="254">
        <v>1316.981551536911</v>
      </c>
      <c r="BX70" s="254">
        <v>2159</v>
      </c>
      <c r="BY70" s="255">
        <f>SUM(BV70:BX70)</f>
        <v>10942.839230759128</v>
      </c>
      <c r="BZ70" s="253">
        <v>7466.8576792222175</v>
      </c>
      <c r="CA70" s="254">
        <v>1316.981551536911</v>
      </c>
      <c r="CB70" s="254">
        <v>2259</v>
      </c>
      <c r="CC70" s="255">
        <f>SUM(BZ70:CB70)</f>
        <v>11042.839230759128</v>
      </c>
      <c r="CD70" s="253">
        <f>BL70*CD58</f>
        <v>7510.3902353958783</v>
      </c>
      <c r="CE70" s="254">
        <f>BN70*CE58</f>
        <v>1324.6667191202814</v>
      </c>
      <c r="CF70" s="254">
        <v>2359</v>
      </c>
      <c r="CG70" s="255">
        <f>SUM(CD70:CF70)</f>
        <v>11194.05695451616</v>
      </c>
    </row>
    <row r="71" spans="5:85" s="236" customFormat="1" ht="15.75" x14ac:dyDescent="0.25">
      <c r="E71" s="237"/>
      <c r="F71" s="246"/>
      <c r="G71" s="247"/>
      <c r="H71" s="272"/>
      <c r="I71" s="247"/>
      <c r="J71" s="247"/>
      <c r="K71" s="274"/>
      <c r="L71" s="247"/>
      <c r="M71" s="274"/>
      <c r="N71" s="274"/>
      <c r="O71" s="247"/>
      <c r="P71" s="272"/>
      <c r="Q71" s="272"/>
      <c r="R71" s="247"/>
      <c r="S71" s="274"/>
      <c r="T71" s="274"/>
      <c r="U71" s="272"/>
      <c r="V71" s="247"/>
      <c r="W71" s="275"/>
      <c r="AM71" s="238"/>
      <c r="AN71" s="238"/>
      <c r="AO71" s="238"/>
      <c r="AP71" s="238"/>
      <c r="AQ71" s="238"/>
      <c r="BQ71" s="261"/>
      <c r="BR71" s="253"/>
      <c r="BS71" s="254"/>
      <c r="BT71" s="254"/>
      <c r="BU71" s="255"/>
      <c r="BV71" s="253"/>
      <c r="BW71" s="254"/>
      <c r="BX71" s="254"/>
      <c r="BY71" s="255"/>
      <c r="BZ71" s="253"/>
      <c r="CA71" s="254"/>
      <c r="CB71" s="254"/>
      <c r="CC71" s="255"/>
      <c r="CD71" s="253"/>
      <c r="CE71" s="254"/>
      <c r="CF71" s="254"/>
      <c r="CG71" s="255"/>
    </row>
    <row r="72" spans="5:85" s="236" customFormat="1" ht="15.75" x14ac:dyDescent="0.25">
      <c r="E72" s="237"/>
      <c r="F72" s="246"/>
      <c r="G72" s="247"/>
      <c r="H72" s="272"/>
      <c r="I72" s="247"/>
      <c r="J72" s="247"/>
      <c r="K72" s="285" t="s">
        <v>186</v>
      </c>
      <c r="L72" s="247" t="s">
        <v>185</v>
      </c>
      <c r="M72" s="247" t="s">
        <v>182</v>
      </c>
      <c r="N72" s="247" t="s">
        <v>180</v>
      </c>
      <c r="O72" s="247"/>
      <c r="P72" s="247"/>
      <c r="Q72" s="247"/>
      <c r="R72" s="247"/>
      <c r="S72" s="274"/>
      <c r="T72" s="274"/>
      <c r="U72" s="272"/>
      <c r="V72" s="247"/>
      <c r="W72" s="275"/>
      <c r="AM72" s="238"/>
      <c r="AN72" s="238"/>
      <c r="AO72" s="238"/>
      <c r="AP72" s="238"/>
      <c r="AQ72" s="238"/>
      <c r="BQ72" s="261"/>
      <c r="BR72" s="253"/>
      <c r="BS72" s="254"/>
      <c r="BT72" s="254"/>
      <c r="BU72" s="255"/>
      <c r="BV72" s="253"/>
      <c r="BW72" s="254"/>
      <c r="BX72" s="254"/>
      <c r="BY72" s="255"/>
      <c r="BZ72" s="253"/>
      <c r="CA72" s="254"/>
      <c r="CB72" s="254"/>
      <c r="CC72" s="255"/>
      <c r="CD72" s="253"/>
      <c r="CE72" s="254"/>
      <c r="CF72" s="254"/>
      <c r="CG72" s="255"/>
    </row>
    <row r="73" spans="5:85" s="236" customFormat="1" ht="15.75" x14ac:dyDescent="0.25">
      <c r="E73" s="237"/>
      <c r="F73" s="246"/>
      <c r="G73" s="247"/>
      <c r="H73" s="272"/>
      <c r="I73" s="247"/>
      <c r="J73" s="247"/>
      <c r="K73" s="295">
        <f>SUM(L73:N73)</f>
        <v>36663.869707549391</v>
      </c>
      <c r="L73" s="247">
        <f>K68*F55</f>
        <v>6532.8697075493928</v>
      </c>
      <c r="M73" s="273">
        <f>K67</f>
        <v>4243</v>
      </c>
      <c r="N73" s="273">
        <f>K66</f>
        <v>25888</v>
      </c>
      <c r="O73" s="296" t="s">
        <v>171</v>
      </c>
      <c r="P73" s="247"/>
      <c r="Q73" s="247"/>
      <c r="R73" s="247"/>
      <c r="S73" s="274"/>
      <c r="T73" s="274"/>
      <c r="U73" s="272"/>
      <c r="V73" s="247"/>
      <c r="W73" s="275"/>
      <c r="AM73" s="238"/>
      <c r="AN73" s="238"/>
      <c r="AO73" s="238"/>
      <c r="AP73" s="238"/>
      <c r="AQ73" s="238"/>
      <c r="BL73" s="236">
        <f>BL61+BL64+BL67+BL70</f>
        <v>1.0000000000000004</v>
      </c>
      <c r="BN73" s="236">
        <f t="shared" ref="BN73" si="17">BN61+BN64+BN67+BN70</f>
        <v>1.0000000000000004</v>
      </c>
      <c r="BQ73" s="261"/>
      <c r="BR73" s="253">
        <f>SUM(BR61:BR70)</f>
        <v>29159.000000000015</v>
      </c>
      <c r="BS73" s="254">
        <f>SUM(BS61:BS70)</f>
        <v>5141.0000000000018</v>
      </c>
      <c r="BT73" s="254">
        <f>SUM(BT61:BT70)</f>
        <v>23000</v>
      </c>
      <c r="BU73" s="254">
        <f t="shared" ref="BU73:CG73" si="18">SUM(BU61:BU70)</f>
        <v>57300.000000000015</v>
      </c>
      <c r="BV73" s="254">
        <f t="shared" si="18"/>
        <v>29159.000000000015</v>
      </c>
      <c r="BW73" s="254">
        <f t="shared" si="18"/>
        <v>5141.0000000000018</v>
      </c>
      <c r="BX73" s="254">
        <f t="shared" si="18"/>
        <v>23100</v>
      </c>
      <c r="BY73" s="254">
        <f t="shared" si="18"/>
        <v>57400.000000000015</v>
      </c>
      <c r="BZ73" s="254">
        <f t="shared" si="18"/>
        <v>29159.000000000015</v>
      </c>
      <c r="CA73" s="254">
        <f t="shared" si="18"/>
        <v>5141.0000000000018</v>
      </c>
      <c r="CB73" s="254">
        <f t="shared" si="18"/>
        <v>23700</v>
      </c>
      <c r="CC73" s="254">
        <f t="shared" si="18"/>
        <v>58000.000000000015</v>
      </c>
      <c r="CD73" s="254">
        <f t="shared" si="18"/>
        <v>29329.000000000015</v>
      </c>
      <c r="CE73" s="254">
        <f t="shared" si="18"/>
        <v>5171.0000000000018</v>
      </c>
      <c r="CF73" s="254">
        <f t="shared" si="18"/>
        <v>24000</v>
      </c>
      <c r="CG73" s="254">
        <f t="shared" si="18"/>
        <v>58500.000000000015</v>
      </c>
    </row>
    <row r="74" spans="5:85" s="236" customFormat="1" ht="16.5" thickBot="1" x14ac:dyDescent="0.3">
      <c r="E74" s="237"/>
      <c r="F74" s="246"/>
      <c r="G74" s="247"/>
      <c r="H74" s="272"/>
      <c r="I74" s="247"/>
      <c r="J74" s="247"/>
      <c r="K74" s="285">
        <f t="shared" ref="K74:K82" si="19">SUM(L74:N74)</f>
        <v>0</v>
      </c>
      <c r="L74" s="247"/>
      <c r="M74" s="274"/>
      <c r="N74" s="274"/>
      <c r="O74" s="247"/>
      <c r="P74" s="272"/>
      <c r="Q74" s="272"/>
      <c r="R74" s="247"/>
      <c r="S74" s="274"/>
      <c r="T74" s="274"/>
      <c r="U74" s="272"/>
      <c r="V74" s="247"/>
      <c r="W74" s="275"/>
      <c r="AM74" s="238"/>
      <c r="AN74" s="238"/>
      <c r="AO74" s="238"/>
      <c r="AP74" s="238"/>
      <c r="AQ74" s="238"/>
      <c r="BQ74" s="262"/>
      <c r="BR74" s="249"/>
      <c r="BS74" s="250"/>
      <c r="BT74" s="250"/>
      <c r="BU74" s="252"/>
      <c r="BV74" s="249"/>
      <c r="BW74" s="250"/>
      <c r="BX74" s="250"/>
      <c r="BY74" s="252"/>
      <c r="BZ74" s="249"/>
      <c r="CA74" s="250"/>
      <c r="CB74" s="250"/>
      <c r="CC74" s="252"/>
      <c r="CD74" s="249"/>
      <c r="CE74" s="250"/>
      <c r="CF74" s="250"/>
      <c r="CG74" s="252"/>
    </row>
    <row r="75" spans="5:85" s="236" customFormat="1" ht="16.5" thickBot="1" x14ac:dyDescent="0.3">
      <c r="E75" s="237"/>
      <c r="F75" s="246"/>
      <c r="G75" s="247"/>
      <c r="H75" s="272"/>
      <c r="I75" s="247"/>
      <c r="J75" s="247"/>
      <c r="K75" s="285">
        <f t="shared" si="19"/>
        <v>0</v>
      </c>
      <c r="L75" s="247"/>
      <c r="M75" s="274"/>
      <c r="N75" s="274"/>
      <c r="O75" s="247"/>
      <c r="P75" s="272"/>
      <c r="Q75" s="272"/>
      <c r="R75" s="247"/>
      <c r="S75" s="274"/>
      <c r="T75" s="274"/>
      <c r="U75" s="272"/>
      <c r="V75" s="247"/>
      <c r="W75" s="275"/>
      <c r="AM75" s="238"/>
      <c r="AN75" s="238"/>
      <c r="AO75" s="238"/>
      <c r="AP75" s="238"/>
      <c r="AQ75" s="238"/>
      <c r="BR75" s="263">
        <f>BR73-BR58</f>
        <v>0</v>
      </c>
      <c r="BS75" s="264">
        <f t="shared" ref="BS75:BU75" si="20">BS73-BS58</f>
        <v>0</v>
      </c>
      <c r="BT75" s="264"/>
      <c r="BU75" s="265">
        <f t="shared" si="20"/>
        <v>0</v>
      </c>
      <c r="BV75" s="263">
        <f>BV58-BV73</f>
        <v>0</v>
      </c>
      <c r="BW75" s="263">
        <f t="shared" ref="BW75:CG75" si="21">BW58-BW73</f>
        <v>0</v>
      </c>
      <c r="BX75" s="263">
        <f t="shared" si="21"/>
        <v>0</v>
      </c>
      <c r="BY75" s="263">
        <f t="shared" si="21"/>
        <v>0</v>
      </c>
      <c r="BZ75" s="263">
        <f t="shared" si="21"/>
        <v>0</v>
      </c>
      <c r="CA75" s="263">
        <f t="shared" si="21"/>
        <v>0</v>
      </c>
      <c r="CB75" s="263">
        <f t="shared" si="21"/>
        <v>0</v>
      </c>
      <c r="CC75" s="263">
        <f t="shared" si="21"/>
        <v>0</v>
      </c>
      <c r="CD75" s="263">
        <f t="shared" si="21"/>
        <v>0</v>
      </c>
      <c r="CE75" s="263">
        <f t="shared" si="21"/>
        <v>0</v>
      </c>
      <c r="CF75" s="263">
        <f t="shared" si="21"/>
        <v>0</v>
      </c>
      <c r="CG75" s="263">
        <f t="shared" si="21"/>
        <v>0</v>
      </c>
    </row>
    <row r="76" spans="5:85" s="236" customFormat="1" ht="15.75" x14ac:dyDescent="0.25">
      <c r="E76" s="237"/>
      <c r="F76" s="246"/>
      <c r="G76" s="247"/>
      <c r="H76" s="272"/>
      <c r="I76" s="247"/>
      <c r="J76" s="247"/>
      <c r="K76" s="295">
        <f t="shared" si="19"/>
        <v>1599.2710380063147</v>
      </c>
      <c r="L76" s="247">
        <f>K68*H55</f>
        <v>1599.2710380063147</v>
      </c>
      <c r="M76" s="247"/>
      <c r="N76" s="247"/>
      <c r="O76" s="296" t="s">
        <v>173</v>
      </c>
      <c r="P76" s="272"/>
      <c r="Q76" s="272"/>
      <c r="R76" s="247"/>
      <c r="S76" s="274"/>
      <c r="T76" s="274"/>
      <c r="U76" s="272"/>
      <c r="V76" s="247"/>
      <c r="W76" s="275"/>
      <c r="AM76" s="238"/>
      <c r="AN76" s="238"/>
      <c r="AO76" s="238"/>
      <c r="AP76" s="238"/>
      <c r="AQ76" s="238"/>
    </row>
    <row r="77" spans="5:85" s="236" customFormat="1" ht="15.75" x14ac:dyDescent="0.25">
      <c r="E77" s="237"/>
      <c r="F77" s="246"/>
      <c r="G77" s="247"/>
      <c r="H77" s="272"/>
      <c r="I77" s="247"/>
      <c r="J77" s="247"/>
      <c r="K77" s="285">
        <f t="shared" si="19"/>
        <v>0</v>
      </c>
      <c r="L77" s="247"/>
      <c r="M77" s="274"/>
      <c r="N77" s="274"/>
      <c r="O77" s="247"/>
      <c r="P77" s="272"/>
      <c r="Q77" s="272"/>
      <c r="R77" s="247"/>
      <c r="S77" s="274"/>
      <c r="T77" s="274"/>
      <c r="U77" s="272"/>
      <c r="V77" s="247"/>
      <c r="W77" s="275"/>
      <c r="AM77" s="238"/>
      <c r="AN77" s="238"/>
      <c r="AO77" s="238"/>
      <c r="AP77" s="238"/>
      <c r="AQ77" s="238"/>
    </row>
    <row r="78" spans="5:85" s="236" customFormat="1" ht="15.75" x14ac:dyDescent="0.25">
      <c r="E78" s="237"/>
      <c r="F78" s="246"/>
      <c r="G78" s="247"/>
      <c r="H78" s="272"/>
      <c r="I78" s="247"/>
      <c r="J78" s="247"/>
      <c r="K78" s="285">
        <f t="shared" si="19"/>
        <v>0</v>
      </c>
      <c r="L78" s="247"/>
      <c r="M78" s="274"/>
      <c r="N78" s="274"/>
      <c r="O78" s="247"/>
      <c r="P78" s="272"/>
      <c r="Q78" s="272"/>
      <c r="R78" s="247"/>
      <c r="S78" s="274"/>
      <c r="T78" s="274"/>
      <c r="U78" s="272"/>
      <c r="V78" s="247"/>
      <c r="W78" s="275"/>
      <c r="AM78" s="238"/>
      <c r="AN78" s="238"/>
      <c r="AO78" s="238"/>
      <c r="AP78" s="238"/>
      <c r="AQ78" s="238"/>
    </row>
    <row r="79" spans="5:85" ht="15.75" x14ac:dyDescent="0.25">
      <c r="F79" s="269"/>
      <c r="G79" s="270"/>
      <c r="H79" s="270"/>
      <c r="I79" s="270"/>
      <c r="J79" s="270"/>
      <c r="K79" s="295">
        <f t="shared" si="19"/>
        <v>3577.7583676351774</v>
      </c>
      <c r="L79" s="247">
        <f>G55*K68</f>
        <v>3577.7583676351774</v>
      </c>
      <c r="M79" s="247"/>
      <c r="N79" s="247"/>
      <c r="O79" s="296" t="s">
        <v>172</v>
      </c>
      <c r="P79" s="272"/>
      <c r="Q79" s="272"/>
      <c r="R79" s="270"/>
      <c r="S79" s="270"/>
      <c r="T79" s="270"/>
      <c r="U79" s="270"/>
      <c r="V79" s="270"/>
      <c r="W79" s="271"/>
    </row>
    <row r="80" spans="5:85" ht="15.75" x14ac:dyDescent="0.25">
      <c r="F80" s="269"/>
      <c r="G80" s="270"/>
      <c r="H80" s="270"/>
      <c r="I80" s="270"/>
      <c r="J80" s="270"/>
      <c r="K80" s="285">
        <f t="shared" si="19"/>
        <v>0</v>
      </c>
      <c r="L80" s="247"/>
      <c r="M80" s="274"/>
      <c r="N80" s="274"/>
      <c r="O80" s="247"/>
      <c r="P80" s="272"/>
      <c r="Q80" s="272"/>
      <c r="R80" s="270"/>
      <c r="S80" s="270"/>
      <c r="T80" s="270"/>
      <c r="U80" s="270"/>
      <c r="V80" s="270"/>
      <c r="W80" s="271"/>
    </row>
    <row r="81" spans="6:86" ht="15.75" x14ac:dyDescent="0.25">
      <c r="F81" s="269"/>
      <c r="G81" s="270"/>
      <c r="H81" s="270"/>
      <c r="I81" s="270"/>
      <c r="J81" s="270"/>
      <c r="K81" s="285">
        <f t="shared" si="19"/>
        <v>0</v>
      </c>
      <c r="L81" s="247"/>
      <c r="M81" s="274"/>
      <c r="N81" s="274"/>
      <c r="O81" s="247"/>
      <c r="P81" s="272"/>
      <c r="Q81" s="272"/>
      <c r="R81" s="270"/>
      <c r="S81" s="270"/>
      <c r="T81" s="270"/>
      <c r="U81" s="270"/>
      <c r="V81" s="270"/>
      <c r="W81" s="271"/>
    </row>
    <row r="82" spans="6:86" ht="15.75" x14ac:dyDescent="0.25">
      <c r="F82" s="269"/>
      <c r="G82" s="270"/>
      <c r="H82" s="270"/>
      <c r="I82" s="270"/>
      <c r="J82" s="270"/>
      <c r="K82" s="295">
        <f t="shared" si="19"/>
        <v>1151.1008868091151</v>
      </c>
      <c r="L82" s="247">
        <f>I55*K68</f>
        <v>1151.1008868091151</v>
      </c>
      <c r="M82" s="247"/>
      <c r="N82" s="247"/>
      <c r="O82" s="296" t="s">
        <v>183</v>
      </c>
      <c r="P82" s="272"/>
      <c r="Q82" s="272"/>
      <c r="R82" s="270"/>
      <c r="S82" s="270"/>
      <c r="T82" s="270"/>
      <c r="U82" s="270"/>
      <c r="V82" s="270"/>
      <c r="W82" s="271"/>
    </row>
    <row r="83" spans="6:86" ht="15.75" x14ac:dyDescent="0.25">
      <c r="F83" s="269"/>
      <c r="G83" s="270"/>
      <c r="H83" s="270"/>
      <c r="I83" s="270"/>
      <c r="J83" s="270"/>
      <c r="K83" s="286"/>
      <c r="L83" s="247"/>
      <c r="M83" s="274"/>
      <c r="N83" s="274"/>
      <c r="O83" s="247"/>
      <c r="P83" s="272"/>
      <c r="Q83" s="272"/>
      <c r="R83" s="270"/>
      <c r="S83" s="270"/>
      <c r="T83" s="270"/>
      <c r="U83" s="270"/>
      <c r="V83" s="270"/>
      <c r="W83" s="271"/>
    </row>
    <row r="84" spans="6:86" ht="15.75" x14ac:dyDescent="0.25">
      <c r="F84" s="269"/>
      <c r="G84" s="270"/>
      <c r="H84" s="270"/>
      <c r="I84" s="270"/>
      <c r="J84" s="270"/>
      <c r="K84" s="286">
        <f>SUM(K73:K83)</f>
        <v>42992</v>
      </c>
      <c r="L84" s="274">
        <f t="shared" ref="L84" si="22">SUM(L73:L83)</f>
        <v>12861</v>
      </c>
      <c r="M84" s="274">
        <f t="shared" ref="M84" si="23">SUM(M73:M83)</f>
        <v>4243</v>
      </c>
      <c r="N84" s="274">
        <f t="shared" ref="N84" si="24">SUM(N73:N83)</f>
        <v>25888</v>
      </c>
      <c r="O84" s="247"/>
      <c r="P84" s="272"/>
      <c r="Q84" s="272"/>
      <c r="R84" s="270"/>
      <c r="S84" s="270"/>
      <c r="T84" s="270"/>
      <c r="U84" s="270"/>
      <c r="V84" s="270"/>
      <c r="W84" s="271"/>
    </row>
    <row r="85" spans="6:86" ht="21" x14ac:dyDescent="0.35">
      <c r="F85" s="269"/>
      <c r="G85" s="270"/>
      <c r="H85" s="270"/>
      <c r="I85" s="270"/>
      <c r="J85" s="270"/>
      <c r="K85" s="291">
        <f>K84-K69</f>
        <v>0</v>
      </c>
      <c r="L85" s="291">
        <f>K68-L84</f>
        <v>0</v>
      </c>
      <c r="M85" s="291">
        <f>M84-K67</f>
        <v>0</v>
      </c>
      <c r="N85" s="291">
        <f>N84-K66</f>
        <v>0</v>
      </c>
      <c r="O85" s="270"/>
      <c r="P85" s="270"/>
      <c r="Q85" s="270"/>
      <c r="R85" s="270"/>
      <c r="S85" s="270"/>
      <c r="T85" s="270"/>
      <c r="U85" s="270"/>
      <c r="V85" s="270"/>
      <c r="W85" s="271"/>
      <c r="BS85" s="315" t="s">
        <v>204</v>
      </c>
    </row>
    <row r="86" spans="6:86" x14ac:dyDescent="0.25">
      <c r="F86" s="269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1"/>
    </row>
    <row r="87" spans="6:86" ht="15.75" x14ac:dyDescent="0.25">
      <c r="F87" s="269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1"/>
      <c r="BG87" s="236"/>
      <c r="BH87" s="236"/>
      <c r="BI87" s="236"/>
      <c r="BJ87" s="236"/>
      <c r="BK87" s="236"/>
      <c r="BL87" s="236" t="s">
        <v>169</v>
      </c>
      <c r="BM87" s="236"/>
      <c r="BN87" s="236" t="s">
        <v>170</v>
      </c>
      <c r="BO87" s="236"/>
      <c r="BP87" s="236"/>
      <c r="BQ87" s="236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</row>
    <row r="88" spans="6:86" ht="16.5" thickBot="1" x14ac:dyDescent="0.3">
      <c r="F88" s="292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4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 t="s">
        <v>171</v>
      </c>
      <c r="BV88" s="236" t="s">
        <v>172</v>
      </c>
      <c r="BW88" s="236" t="s">
        <v>173</v>
      </c>
      <c r="BX88" s="236" t="s">
        <v>174</v>
      </c>
      <c r="BY88" s="236" t="s">
        <v>175</v>
      </c>
      <c r="BZ88" s="236"/>
      <c r="CA88" s="236"/>
      <c r="CB88" s="236"/>
      <c r="CC88" s="236"/>
      <c r="CD88" s="236"/>
      <c r="CE88" s="236"/>
      <c r="CF88" s="236"/>
      <c r="CG88" s="236"/>
      <c r="CH88" s="236"/>
    </row>
    <row r="89" spans="6:86" ht="15.75" x14ac:dyDescent="0.25">
      <c r="BG89" s="236" t="s">
        <v>176</v>
      </c>
      <c r="BH89" s="236"/>
      <c r="BI89" s="236"/>
      <c r="BJ89" s="236"/>
      <c r="BK89" s="236"/>
      <c r="BL89" s="236">
        <v>6.4866183449508133E-2</v>
      </c>
      <c r="BM89" s="236"/>
      <c r="BN89" s="236">
        <v>4.9717569192105841E-2</v>
      </c>
      <c r="BO89" s="236"/>
      <c r="BP89" s="236"/>
      <c r="BQ89" s="236"/>
      <c r="BR89" s="236"/>
      <c r="BS89" s="236"/>
      <c r="BT89" s="236"/>
      <c r="BU89" s="241">
        <v>11683073.313644655</v>
      </c>
      <c r="BV89" s="241">
        <v>6398292.8144555185</v>
      </c>
      <c r="BW89" s="241">
        <v>2860060.2218998251</v>
      </c>
      <c r="BX89" s="241">
        <v>2058574.05</v>
      </c>
      <c r="BY89" s="236">
        <v>23000000.399999999</v>
      </c>
      <c r="BZ89" s="236"/>
      <c r="CA89" s="236"/>
      <c r="CB89" s="236">
        <f>CA101/34300</f>
        <v>0.14988338192419826</v>
      </c>
      <c r="CC89" s="236"/>
      <c r="CD89" s="236"/>
      <c r="CE89" s="236"/>
      <c r="CF89" s="236"/>
      <c r="CG89" s="236"/>
      <c r="CH89" s="236"/>
    </row>
    <row r="90" spans="6:86" ht="15.75" x14ac:dyDescent="0.25">
      <c r="BG90" s="236" t="s">
        <v>177</v>
      </c>
      <c r="BH90" s="236"/>
      <c r="BI90" s="236"/>
      <c r="BJ90" s="236"/>
      <c r="BK90" s="236"/>
      <c r="BL90" s="236">
        <v>3.9982710660409149E-2</v>
      </c>
      <c r="BM90" s="236"/>
      <c r="BN90" s="236">
        <v>4.0630406904561774E-2</v>
      </c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</row>
    <row r="91" spans="6:86" ht="15.75" x14ac:dyDescent="0.25">
      <c r="BG91" s="236" t="s">
        <v>178</v>
      </c>
      <c r="BH91" s="236"/>
      <c r="BI91" s="236"/>
      <c r="BJ91" s="236"/>
      <c r="BK91" s="236"/>
      <c r="BL91" s="236">
        <v>0.11544551432001571</v>
      </c>
      <c r="BM91" s="236"/>
      <c r="BN91" s="236">
        <v>0.11731566331177436</v>
      </c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</row>
    <row r="92" spans="6:86" ht="15.75" x14ac:dyDescent="0.25">
      <c r="BG92" s="236" t="s">
        <v>179</v>
      </c>
      <c r="BH92" s="236"/>
      <c r="BI92" s="236"/>
      <c r="BJ92" s="236"/>
      <c r="BK92" s="236"/>
      <c r="BL92" s="236">
        <v>0.20979082302865248</v>
      </c>
      <c r="BM92" s="236"/>
      <c r="BN92" s="236">
        <v>0.21318931017194406</v>
      </c>
      <c r="BO92" s="236"/>
      <c r="BP92" s="236"/>
      <c r="BQ92" s="236"/>
      <c r="BR92" s="236"/>
      <c r="BS92" s="236"/>
      <c r="BT92" s="236"/>
      <c r="BU92" s="236">
        <f>BU89/BY89</f>
        <v>0.50795970045481631</v>
      </c>
      <c r="BV92" s="236">
        <f>BV89/BY89</f>
        <v>0.27818663926873316</v>
      </c>
      <c r="BW92" s="236">
        <f>BW89/BY89</f>
        <v>0.12435044226781081</v>
      </c>
      <c r="BX92" s="236">
        <f>BX89/BY89</f>
        <v>8.9503218008639696E-2</v>
      </c>
      <c r="BY92" s="236"/>
      <c r="BZ92" s="236"/>
      <c r="CA92" s="236"/>
      <c r="CB92" s="236">
        <f>34500*CB89</f>
        <v>5170.9766763848402</v>
      </c>
      <c r="CC92" s="236"/>
      <c r="CD92" s="236"/>
      <c r="CE92" s="236"/>
      <c r="CF92" s="236"/>
      <c r="CG92" s="236"/>
      <c r="CH92" s="236"/>
    </row>
    <row r="93" spans="6:86" ht="15.75" x14ac:dyDescent="0.25">
      <c r="BG93" s="236"/>
      <c r="BH93" s="236"/>
      <c r="BI93" s="236"/>
      <c r="BJ93" s="236"/>
      <c r="BK93" s="236"/>
      <c r="BL93" s="236">
        <f>SUM(BL89:BL92)</f>
        <v>0.43008523145858546</v>
      </c>
      <c r="BM93" s="236">
        <f t="shared" ref="BM93:BN93" si="25">SUM(BM89:BM92)</f>
        <v>0</v>
      </c>
      <c r="BN93" s="236">
        <f t="shared" si="25"/>
        <v>0.42085294958038599</v>
      </c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</row>
    <row r="94" spans="6:86" ht="15.75" x14ac:dyDescent="0.25"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</row>
    <row r="95" spans="6:86" ht="15.75" x14ac:dyDescent="0.25">
      <c r="BG95" s="236"/>
      <c r="BH95" s="236"/>
      <c r="BI95" s="236"/>
      <c r="BJ95" s="236"/>
      <c r="BK95" s="236"/>
      <c r="BL95" s="236">
        <f>BL93/4</f>
        <v>0.10752130786464636</v>
      </c>
      <c r="BM95" s="236"/>
      <c r="BN95" s="236">
        <f t="shared" ref="BN95" si="26">BN93/4</f>
        <v>0.1052132373950965</v>
      </c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</row>
    <row r="96" spans="6:86" ht="15.75" x14ac:dyDescent="0.25"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</row>
    <row r="97" spans="59:86" ht="15.75" x14ac:dyDescent="0.25"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</row>
    <row r="98" spans="59:86" ht="16.5" thickBot="1" x14ac:dyDescent="0.3"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</row>
    <row r="99" spans="59:86" ht="15.75" x14ac:dyDescent="0.25"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42"/>
      <c r="BS99" s="243">
        <v>2018</v>
      </c>
      <c r="BT99" s="244"/>
      <c r="BU99" s="245"/>
      <c r="BV99" s="242"/>
      <c r="BW99" s="243">
        <v>2019</v>
      </c>
      <c r="BX99" s="244"/>
      <c r="BY99" s="245"/>
      <c r="BZ99" s="242"/>
      <c r="CA99" s="243">
        <v>2020</v>
      </c>
      <c r="CB99" s="244"/>
      <c r="CC99" s="245"/>
      <c r="CD99" s="242"/>
      <c r="CE99" s="243">
        <v>2021</v>
      </c>
      <c r="CF99" s="244"/>
      <c r="CG99" s="245"/>
      <c r="CH99" s="236"/>
    </row>
    <row r="100" spans="59:86" ht="15.75" x14ac:dyDescent="0.25">
      <c r="BG100" s="236"/>
      <c r="BH100" s="236"/>
      <c r="BI100" s="236"/>
      <c r="BJ100" s="236"/>
      <c r="BK100" s="236"/>
      <c r="BL100" s="236" t="s">
        <v>180</v>
      </c>
      <c r="BM100" s="236"/>
      <c r="BN100" s="236" t="s">
        <v>181</v>
      </c>
      <c r="BO100" s="236"/>
      <c r="BP100" s="236">
        <v>602</v>
      </c>
      <c r="BQ100" s="236"/>
      <c r="BR100" s="246" t="s">
        <v>180</v>
      </c>
      <c r="BS100" s="247" t="s">
        <v>182</v>
      </c>
      <c r="BT100" s="247">
        <v>602</v>
      </c>
      <c r="BU100" s="248" t="s">
        <v>175</v>
      </c>
      <c r="BV100" s="246" t="s">
        <v>180</v>
      </c>
      <c r="BW100" s="247" t="s">
        <v>182</v>
      </c>
      <c r="BX100" s="247">
        <v>602</v>
      </c>
      <c r="BY100" s="248" t="s">
        <v>175</v>
      </c>
      <c r="BZ100" s="246" t="s">
        <v>180</v>
      </c>
      <c r="CA100" s="247" t="s">
        <v>182</v>
      </c>
      <c r="CB100" s="247">
        <v>602</v>
      </c>
      <c r="CC100" s="248">
        <v>231</v>
      </c>
      <c r="CD100" s="246" t="s">
        <v>180</v>
      </c>
      <c r="CE100" s="247" t="s">
        <v>182</v>
      </c>
      <c r="CF100" s="247">
        <v>602</v>
      </c>
      <c r="CG100" s="248">
        <v>231</v>
      </c>
      <c r="CH100" s="236"/>
    </row>
    <row r="101" spans="59:86" ht="15.75" x14ac:dyDescent="0.25"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49">
        <f>29159-444</f>
        <v>28715</v>
      </c>
      <c r="BS101" s="250">
        <f>5141-56</f>
        <v>5085</v>
      </c>
      <c r="BT101" s="250">
        <v>23000</v>
      </c>
      <c r="BU101" s="251">
        <f>BR101+BS101+BT101</f>
        <v>56800</v>
      </c>
      <c r="BV101" s="249">
        <v>29159</v>
      </c>
      <c r="BW101" s="250">
        <v>5141</v>
      </c>
      <c r="BX101" s="250">
        <v>23100</v>
      </c>
      <c r="BY101" s="251">
        <f>SUM(BV101:BX101)</f>
        <v>57400</v>
      </c>
      <c r="BZ101" s="249">
        <v>29159</v>
      </c>
      <c r="CA101" s="250">
        <v>5141</v>
      </c>
      <c r="CB101" s="250">
        <v>23700</v>
      </c>
      <c r="CC101" s="252">
        <f>SUM(BZ101:CB101)</f>
        <v>58000</v>
      </c>
      <c r="CD101" s="249">
        <f>34500-5171</f>
        <v>29329</v>
      </c>
      <c r="CE101" s="250">
        <v>5171</v>
      </c>
      <c r="CF101" s="250">
        <v>24000</v>
      </c>
      <c r="CG101" s="252">
        <f>SUM(CD101:CF101)</f>
        <v>58500</v>
      </c>
      <c r="CH101" s="236"/>
    </row>
    <row r="102" spans="59:86" ht="15.75" x14ac:dyDescent="0.25">
      <c r="BG102" s="236"/>
      <c r="BH102" s="236"/>
      <c r="BI102" s="236"/>
      <c r="BJ102" s="236"/>
      <c r="BK102" s="236"/>
      <c r="BL102" s="236">
        <v>0.18705516340963227</v>
      </c>
      <c r="BM102" s="236"/>
      <c r="BN102" s="236">
        <v>0.19008534632591317</v>
      </c>
      <c r="BO102" s="236"/>
      <c r="BP102" s="236"/>
      <c r="BQ102" s="236"/>
      <c r="BR102" s="253"/>
      <c r="BS102" s="254"/>
      <c r="BT102" s="254"/>
      <c r="BU102" s="255"/>
      <c r="BV102" s="253"/>
      <c r="BW102" s="254"/>
      <c r="BX102" s="254"/>
      <c r="BY102" s="255"/>
      <c r="BZ102" s="253"/>
      <c r="CA102" s="254"/>
      <c r="CB102" s="254"/>
      <c r="CC102" s="255"/>
      <c r="CD102" s="253"/>
      <c r="CE102" s="254"/>
      <c r="CF102" s="254"/>
      <c r="CG102" s="255"/>
      <c r="CH102" s="236"/>
    </row>
    <row r="103" spans="59:86" ht="16.5" thickBot="1" x14ac:dyDescent="0.3">
      <c r="BG103" s="236"/>
      <c r="BH103" s="236"/>
      <c r="BI103" s="236"/>
      <c r="BJ103" s="236"/>
      <c r="BK103" s="236"/>
      <c r="BL103" s="236">
        <v>0.10752130786464636</v>
      </c>
      <c r="BM103" s="236"/>
      <c r="BN103" s="236">
        <v>0.1052132373950965</v>
      </c>
      <c r="BO103" s="236"/>
      <c r="BP103" s="236"/>
      <c r="BQ103" s="236"/>
      <c r="BR103" s="253"/>
      <c r="BS103" s="254"/>
      <c r="BT103" s="254"/>
      <c r="BU103" s="255"/>
      <c r="BV103" s="253"/>
      <c r="BW103" s="254"/>
      <c r="BX103" s="254"/>
      <c r="BY103" s="255"/>
      <c r="BZ103" s="253"/>
      <c r="CA103" s="254"/>
      <c r="CB103" s="254"/>
      <c r="CC103" s="255"/>
      <c r="CD103" s="253"/>
      <c r="CE103" s="254"/>
      <c r="CF103" s="254"/>
      <c r="CG103" s="255"/>
      <c r="CH103" s="236"/>
    </row>
    <row r="104" spans="59:86" ht="16.5" thickBot="1" x14ac:dyDescent="0.3">
      <c r="BG104" s="256" t="s">
        <v>171</v>
      </c>
      <c r="BH104" s="257"/>
      <c r="BI104" s="257"/>
      <c r="BJ104" s="257"/>
      <c r="BK104" s="258"/>
      <c r="BL104" s="259">
        <f>SUM(BL102:BL103)</f>
        <v>0.29457647127427866</v>
      </c>
      <c r="BM104" s="259">
        <f t="shared" ref="BM104:BN104" si="27">SUM(BM102:BM103)</f>
        <v>0</v>
      </c>
      <c r="BN104" s="259">
        <f t="shared" si="27"/>
        <v>0.2952985837210097</v>
      </c>
      <c r="BO104" s="236"/>
      <c r="BP104" s="236"/>
      <c r="BQ104" s="260" t="s">
        <v>171</v>
      </c>
      <c r="BR104" s="253">
        <f>BL104*BR101</f>
        <v>8458.7633726409113</v>
      </c>
      <c r="BS104" s="254">
        <f>BN104*BS101</f>
        <v>1501.5932982213344</v>
      </c>
      <c r="BT104" s="254">
        <v>11683</v>
      </c>
      <c r="BU104" s="255">
        <f>BR104+BS104+BT104</f>
        <v>21643.356670862246</v>
      </c>
      <c r="BV104" s="253">
        <v>8589.5553258866912</v>
      </c>
      <c r="BW104" s="254">
        <v>1518.1300189097108</v>
      </c>
      <c r="BX104" s="254">
        <v>11683</v>
      </c>
      <c r="BY104" s="255">
        <f>SUM(BV104:BX104)</f>
        <v>21790.685344796402</v>
      </c>
      <c r="BZ104" s="253">
        <v>8589.5553258866912</v>
      </c>
      <c r="CA104" s="254">
        <v>1518.1300189097108</v>
      </c>
      <c r="CB104" s="254">
        <v>11683</v>
      </c>
      <c r="CC104" s="255">
        <f>SUM(BZ104:CB104)</f>
        <v>21790.685344796402</v>
      </c>
      <c r="CD104" s="253">
        <f>CD101*BL104</f>
        <v>8639.6333260033189</v>
      </c>
      <c r="CE104" s="254">
        <f>BN104*CE101</f>
        <v>1526.9889764213412</v>
      </c>
      <c r="CF104" s="254">
        <v>11683</v>
      </c>
      <c r="CG104" s="255">
        <f>SUM(CD104:CF104)</f>
        <v>21849.622302424661</v>
      </c>
      <c r="CH104" s="236"/>
    </row>
    <row r="105" spans="59:86" ht="15.75" x14ac:dyDescent="0.25">
      <c r="BG105" s="236"/>
      <c r="BH105" s="236"/>
      <c r="BI105" s="236"/>
      <c r="BJ105" s="236"/>
      <c r="BK105" s="236"/>
      <c r="BL105" s="236">
        <v>8.5754501170947683E-2</v>
      </c>
      <c r="BM105" s="236"/>
      <c r="BN105" s="236">
        <v>8.7143673325866214E-2</v>
      </c>
      <c r="BO105" s="236"/>
      <c r="BP105" s="236"/>
      <c r="BQ105" s="261"/>
      <c r="BR105" s="253"/>
      <c r="BS105" s="254"/>
      <c r="BT105" s="254"/>
      <c r="BU105" s="255"/>
      <c r="BV105" s="253"/>
      <c r="BW105" s="254"/>
      <c r="BX105" s="254"/>
      <c r="BY105" s="255"/>
      <c r="BZ105" s="253"/>
      <c r="CA105" s="254"/>
      <c r="CB105" s="254"/>
      <c r="CC105" s="255"/>
      <c r="CD105" s="253"/>
      <c r="CE105" s="254"/>
      <c r="CF105" s="254"/>
      <c r="CG105" s="255"/>
      <c r="CH105" s="236"/>
    </row>
    <row r="106" spans="59:86" ht="16.5" thickBot="1" x14ac:dyDescent="0.3">
      <c r="BG106" s="236"/>
      <c r="BH106" s="236"/>
      <c r="BI106" s="236"/>
      <c r="BJ106" s="236"/>
      <c r="BK106" s="236"/>
      <c r="BL106" s="236">
        <v>0.10752130786464636</v>
      </c>
      <c r="BM106" s="236"/>
      <c r="BN106" s="236">
        <v>0.1052132373950965</v>
      </c>
      <c r="BO106" s="236"/>
      <c r="BP106" s="236"/>
      <c r="BQ106" s="262"/>
      <c r="BR106" s="253"/>
      <c r="BS106" s="254"/>
      <c r="BT106" s="254"/>
      <c r="BU106" s="255"/>
      <c r="BV106" s="253"/>
      <c r="BW106" s="254"/>
      <c r="BX106" s="254"/>
      <c r="BY106" s="255"/>
      <c r="BZ106" s="253"/>
      <c r="CA106" s="254"/>
      <c r="CB106" s="254"/>
      <c r="CC106" s="255"/>
      <c r="CD106" s="253"/>
      <c r="CE106" s="254"/>
      <c r="CF106" s="254"/>
      <c r="CG106" s="255"/>
      <c r="CH106" s="236"/>
    </row>
    <row r="107" spans="59:86" ht="16.5" thickBot="1" x14ac:dyDescent="0.3">
      <c r="BG107" s="256" t="s">
        <v>173</v>
      </c>
      <c r="BH107" s="257"/>
      <c r="BI107" s="257"/>
      <c r="BJ107" s="257"/>
      <c r="BK107" s="258"/>
      <c r="BL107" s="259">
        <f>SUM(BL105:BL106)</f>
        <v>0.19327580903559405</v>
      </c>
      <c r="BM107" s="259">
        <f t="shared" ref="BM107:BN107" si="28">SUM(BM105:BM106)</f>
        <v>0</v>
      </c>
      <c r="BN107" s="259">
        <f t="shared" si="28"/>
        <v>0.19235691072096273</v>
      </c>
      <c r="BO107" s="236"/>
      <c r="BP107" s="236"/>
      <c r="BQ107" s="260" t="s">
        <v>173</v>
      </c>
      <c r="BR107" s="253">
        <f>BL107*BR101</f>
        <v>5549.9148564570833</v>
      </c>
      <c r="BS107" s="254">
        <f>BN107*BS101</f>
        <v>978.13489101609548</v>
      </c>
      <c r="BT107" s="254">
        <v>2860</v>
      </c>
      <c r="BU107" s="255">
        <f>BR107+BS107+BT107</f>
        <v>9388.0497474731783</v>
      </c>
      <c r="BV107" s="253">
        <v>5635.7293156688866</v>
      </c>
      <c r="BW107" s="254">
        <v>988.90687801646936</v>
      </c>
      <c r="BX107" s="254">
        <v>2860</v>
      </c>
      <c r="BY107" s="255">
        <f>SUM(BV107:BX107)</f>
        <v>9484.6361936853555</v>
      </c>
      <c r="BZ107" s="253">
        <v>5635.7293156688866</v>
      </c>
      <c r="CA107" s="254">
        <v>988.90687801646936</v>
      </c>
      <c r="CB107" s="254">
        <v>2860</v>
      </c>
      <c r="CC107" s="255">
        <f>SUM(BZ107:CB107)</f>
        <v>9484.6361936853555</v>
      </c>
      <c r="CD107" s="253">
        <f>BL107*CD101</f>
        <v>5668.5862032049381</v>
      </c>
      <c r="CE107" s="254">
        <f>BN107*CE101</f>
        <v>994.67758533809831</v>
      </c>
      <c r="CF107" s="254">
        <v>2860</v>
      </c>
      <c r="CG107" s="255">
        <f>SUM(CD107:CF107)</f>
        <v>9523.2637885430377</v>
      </c>
      <c r="CH107" s="236"/>
    </row>
    <row r="108" spans="59:86" ht="15.75" x14ac:dyDescent="0.25">
      <c r="BG108" s="236"/>
      <c r="BH108" s="236"/>
      <c r="BI108" s="236"/>
      <c r="BJ108" s="236"/>
      <c r="BK108" s="236"/>
      <c r="BL108" s="236">
        <f>0.297105103960835/2</f>
        <v>0.1485525519804175</v>
      </c>
      <c r="BM108" s="236"/>
      <c r="BN108" s="236">
        <f>0.301918030767835/2</f>
        <v>0.15095901538391751</v>
      </c>
      <c r="BO108" s="236"/>
      <c r="BP108" s="236"/>
      <c r="BQ108" s="261"/>
      <c r="BR108" s="253"/>
      <c r="BS108" s="254"/>
      <c r="BT108" s="254"/>
      <c r="BU108" s="255"/>
      <c r="BV108" s="253"/>
      <c r="BW108" s="254"/>
      <c r="BX108" s="254"/>
      <c r="BY108" s="255"/>
      <c r="BZ108" s="253"/>
      <c r="CA108" s="254"/>
      <c r="CB108" s="254"/>
      <c r="CC108" s="255"/>
      <c r="CD108" s="253"/>
      <c r="CE108" s="254"/>
      <c r="CF108" s="254"/>
      <c r="CG108" s="255"/>
      <c r="CH108" s="236"/>
    </row>
    <row r="109" spans="59:86" ht="16.5" thickBot="1" x14ac:dyDescent="0.3">
      <c r="BG109" s="236"/>
      <c r="BH109" s="236"/>
      <c r="BI109" s="236"/>
      <c r="BJ109" s="236"/>
      <c r="BK109" s="236"/>
      <c r="BL109" s="236">
        <v>0.10752130786464636</v>
      </c>
      <c r="BM109" s="236"/>
      <c r="BN109" s="236">
        <v>0.1052132373950965</v>
      </c>
      <c r="BO109" s="236"/>
      <c r="BP109" s="236"/>
      <c r="BQ109" s="262"/>
      <c r="BR109" s="253"/>
      <c r="BS109" s="254"/>
      <c r="BT109" s="254"/>
      <c r="BU109" s="255"/>
      <c r="BV109" s="253"/>
      <c r="BW109" s="254"/>
      <c r="BX109" s="254"/>
      <c r="BY109" s="255"/>
      <c r="BZ109" s="253"/>
      <c r="CA109" s="254"/>
      <c r="CB109" s="254"/>
      <c r="CC109" s="255"/>
      <c r="CD109" s="253"/>
      <c r="CE109" s="254"/>
      <c r="CF109" s="254"/>
      <c r="CG109" s="255"/>
      <c r="CH109" s="236"/>
    </row>
    <row r="110" spans="59:86" ht="16.5" thickBot="1" x14ac:dyDescent="0.3">
      <c r="BG110" s="256" t="s">
        <v>172</v>
      </c>
      <c r="BH110" s="257"/>
      <c r="BI110" s="257"/>
      <c r="BJ110" s="257"/>
      <c r="BK110" s="258"/>
      <c r="BL110" s="259">
        <f>SUM(BL108:BL109)</f>
        <v>0.25607385984506387</v>
      </c>
      <c r="BM110" s="259"/>
      <c r="BN110" s="259">
        <f t="shared" ref="BN110" si="29">SUM(BN108:BN109)</f>
        <v>0.25617225277901401</v>
      </c>
      <c r="BO110" s="236"/>
      <c r="BP110" s="236"/>
      <c r="BQ110" s="260" t="s">
        <v>172</v>
      </c>
      <c r="BR110" s="253">
        <f>BR101*BL110</f>
        <v>7353.1608854510087</v>
      </c>
      <c r="BS110" s="254">
        <f>BN110*BS101</f>
        <v>1302.6359053812862</v>
      </c>
      <c r="BT110" s="254">
        <v>6398</v>
      </c>
      <c r="BU110" s="255">
        <f>BR110+BS110+BT110</f>
        <v>15053.796790832295</v>
      </c>
      <c r="BV110" s="253">
        <v>7466.8576792222175</v>
      </c>
      <c r="BW110" s="254">
        <v>1316.981551536911</v>
      </c>
      <c r="BX110" s="254">
        <v>6398</v>
      </c>
      <c r="BY110" s="255">
        <f>SUM(BV110:BX110)</f>
        <v>15181.839230759128</v>
      </c>
      <c r="BZ110" s="253">
        <v>7466.8576792222175</v>
      </c>
      <c r="CA110" s="254">
        <v>1316.981551536911</v>
      </c>
      <c r="CB110" s="254">
        <v>6898</v>
      </c>
      <c r="CC110" s="255">
        <f>SUM(BZ110:CB110)</f>
        <v>15681.839230759128</v>
      </c>
      <c r="CD110" s="253">
        <f>BL110*CD101</f>
        <v>7510.3902353958783</v>
      </c>
      <c r="CE110" s="254">
        <f>BN110*CE101</f>
        <v>1324.6667191202814</v>
      </c>
      <c r="CF110" s="254">
        <f>200+6898</f>
        <v>7098</v>
      </c>
      <c r="CG110" s="255">
        <f>SUM(CD110:CF110)</f>
        <v>15933.05695451616</v>
      </c>
      <c r="CH110" s="236"/>
    </row>
    <row r="111" spans="59:86" ht="15.75" x14ac:dyDescent="0.25">
      <c r="BG111" s="236"/>
      <c r="BH111" s="236"/>
      <c r="BI111" s="236"/>
      <c r="BJ111" s="236"/>
      <c r="BK111" s="236"/>
      <c r="BL111" s="236">
        <v>0.1485525519804175</v>
      </c>
      <c r="BM111" s="236"/>
      <c r="BN111" s="236">
        <v>0.15095901538391751</v>
      </c>
      <c r="BO111" s="236"/>
      <c r="BP111" s="236"/>
      <c r="BQ111" s="261"/>
      <c r="BR111" s="253"/>
      <c r="BS111" s="254"/>
      <c r="BT111" s="254"/>
      <c r="BU111" s="255"/>
      <c r="BV111" s="253"/>
      <c r="BW111" s="254"/>
      <c r="BX111" s="254"/>
      <c r="BY111" s="255"/>
      <c r="BZ111" s="253"/>
      <c r="CA111" s="254"/>
      <c r="CB111" s="254"/>
      <c r="CC111" s="255"/>
      <c r="CD111" s="253"/>
      <c r="CE111" s="254"/>
      <c r="CF111" s="254"/>
      <c r="CG111" s="255"/>
      <c r="CH111" s="236"/>
    </row>
    <row r="112" spans="59:86" ht="16.5" thickBot="1" x14ac:dyDescent="0.3">
      <c r="BG112" s="236"/>
      <c r="BH112" s="236"/>
      <c r="BI112" s="236"/>
      <c r="BJ112" s="236"/>
      <c r="BK112" s="236"/>
      <c r="BL112" s="236">
        <v>0.10752130786464636</v>
      </c>
      <c r="BM112" s="236"/>
      <c r="BN112" s="236">
        <v>0.1052132373950965</v>
      </c>
      <c r="BO112" s="236"/>
      <c r="BP112" s="236"/>
      <c r="BQ112" s="262"/>
      <c r="BR112" s="253"/>
      <c r="BS112" s="254"/>
      <c r="BT112" s="254"/>
      <c r="BU112" s="255"/>
      <c r="BV112" s="253"/>
      <c r="BW112" s="254"/>
      <c r="BX112" s="254"/>
      <c r="BY112" s="255"/>
      <c r="BZ112" s="253"/>
      <c r="CA112" s="254"/>
      <c r="CB112" s="254"/>
      <c r="CC112" s="255"/>
      <c r="CD112" s="253"/>
      <c r="CE112" s="254"/>
      <c r="CF112" s="254"/>
      <c r="CG112" s="255"/>
      <c r="CH112" s="236"/>
    </row>
    <row r="113" spans="59:86" ht="16.5" thickBot="1" x14ac:dyDescent="0.3">
      <c r="BG113" s="256" t="s">
        <v>183</v>
      </c>
      <c r="BH113" s="257"/>
      <c r="BI113" s="257"/>
      <c r="BJ113" s="257"/>
      <c r="BK113" s="258"/>
      <c r="BL113" s="259">
        <f>SUM(BL111:BL112)</f>
        <v>0.25607385984506387</v>
      </c>
      <c r="BM113" s="259">
        <f t="shared" ref="BM113:BN113" si="30">SUM(BM111:BM112)</f>
        <v>0</v>
      </c>
      <c r="BN113" s="259">
        <f t="shared" si="30"/>
        <v>0.25617225277901401</v>
      </c>
      <c r="BO113" s="236"/>
      <c r="BP113" s="236"/>
      <c r="BQ113" s="260" t="s">
        <v>184</v>
      </c>
      <c r="BR113" s="253">
        <f>BL113*BR101</f>
        <v>7353.1608854510087</v>
      </c>
      <c r="BS113" s="254">
        <f>BN113*BS101</f>
        <v>1302.6359053812862</v>
      </c>
      <c r="BT113" s="254">
        <v>2059</v>
      </c>
      <c r="BU113" s="255">
        <f>BR113+BS113+BT113</f>
        <v>10714.796790832295</v>
      </c>
      <c r="BV113" s="253">
        <v>7466.8576792222175</v>
      </c>
      <c r="BW113" s="254">
        <v>1316.981551536911</v>
      </c>
      <c r="BX113" s="254">
        <v>2159</v>
      </c>
      <c r="BY113" s="255">
        <f>SUM(BV113:BX113)</f>
        <v>10942.839230759128</v>
      </c>
      <c r="BZ113" s="253">
        <v>7466.8576792222175</v>
      </c>
      <c r="CA113" s="254">
        <v>1316.981551536911</v>
      </c>
      <c r="CB113" s="254">
        <v>2259</v>
      </c>
      <c r="CC113" s="255">
        <f>SUM(BZ113:CB113)</f>
        <v>11042.839230759128</v>
      </c>
      <c r="CD113" s="253">
        <f>BL113*CD101</f>
        <v>7510.3902353958783</v>
      </c>
      <c r="CE113" s="254">
        <f>BN113*CE101</f>
        <v>1324.6667191202814</v>
      </c>
      <c r="CF113" s="254">
        <v>2359</v>
      </c>
      <c r="CG113" s="255">
        <f>SUM(CD113:CF113)</f>
        <v>11194.05695451616</v>
      </c>
      <c r="CH113" s="236"/>
    </row>
    <row r="114" spans="59:86" ht="15.75" x14ac:dyDescent="0.25"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61"/>
      <c r="BR114" s="253"/>
      <c r="BS114" s="254"/>
      <c r="BT114" s="254"/>
      <c r="BU114" s="255"/>
      <c r="BV114" s="253"/>
      <c r="BW114" s="254"/>
      <c r="BX114" s="254"/>
      <c r="BY114" s="255"/>
      <c r="BZ114" s="253"/>
      <c r="CA114" s="254"/>
      <c r="CB114" s="254"/>
      <c r="CC114" s="255"/>
      <c r="CD114" s="253"/>
      <c r="CE114" s="254"/>
      <c r="CF114" s="254"/>
      <c r="CG114" s="255"/>
      <c r="CH114" s="236"/>
    </row>
    <row r="115" spans="59:86" ht="15.75" x14ac:dyDescent="0.25"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61"/>
      <c r="BR115" s="253"/>
      <c r="BS115" s="254"/>
      <c r="BT115" s="254"/>
      <c r="BU115" s="255"/>
      <c r="BV115" s="253"/>
      <c r="BW115" s="254"/>
      <c r="BX115" s="254"/>
      <c r="BY115" s="255"/>
      <c r="BZ115" s="253"/>
      <c r="CA115" s="254"/>
      <c r="CB115" s="254"/>
      <c r="CC115" s="255"/>
      <c r="CD115" s="253"/>
      <c r="CE115" s="254"/>
      <c r="CF115" s="254"/>
      <c r="CG115" s="255"/>
      <c r="CH115" s="236"/>
    </row>
    <row r="116" spans="59:86" ht="15.75" x14ac:dyDescent="0.25">
      <c r="BG116" s="236"/>
      <c r="BH116" s="236"/>
      <c r="BI116" s="236"/>
      <c r="BJ116" s="236"/>
      <c r="BK116" s="236"/>
      <c r="BL116" s="236">
        <f>BL104+BL107+BL110+BL113</f>
        <v>1.0000000000000004</v>
      </c>
      <c r="BM116" s="236"/>
      <c r="BN116" s="236">
        <f t="shared" ref="BN116" si="31">BN104+BN107+BN110+BN113</f>
        <v>1.0000000000000004</v>
      </c>
      <c r="BO116" s="236"/>
      <c r="BP116" s="236"/>
      <c r="BQ116" s="261"/>
      <c r="BR116" s="253">
        <f>SUM(BR104:BR113)</f>
        <v>28715.000000000011</v>
      </c>
      <c r="BS116" s="254">
        <f>SUM(BS104:BS113)</f>
        <v>5085.0000000000018</v>
      </c>
      <c r="BT116" s="254">
        <f>SUM(BT104:BT113)</f>
        <v>23000</v>
      </c>
      <c r="BU116" s="254">
        <f t="shared" ref="BU116:CG116" si="32">SUM(BU104:BU113)</f>
        <v>56800.000000000015</v>
      </c>
      <c r="BV116" s="254">
        <f t="shared" si="32"/>
        <v>29159.000000000015</v>
      </c>
      <c r="BW116" s="254">
        <f t="shared" si="32"/>
        <v>5141.0000000000018</v>
      </c>
      <c r="BX116" s="254">
        <f t="shared" si="32"/>
        <v>23100</v>
      </c>
      <c r="BY116" s="254">
        <f t="shared" si="32"/>
        <v>57400.000000000015</v>
      </c>
      <c r="BZ116" s="254">
        <f t="shared" si="32"/>
        <v>29159.000000000015</v>
      </c>
      <c r="CA116" s="254">
        <f t="shared" si="32"/>
        <v>5141.0000000000018</v>
      </c>
      <c r="CB116" s="254">
        <f t="shared" si="32"/>
        <v>23700</v>
      </c>
      <c r="CC116" s="254">
        <f t="shared" si="32"/>
        <v>58000.000000000015</v>
      </c>
      <c r="CD116" s="254">
        <f t="shared" si="32"/>
        <v>29329.000000000015</v>
      </c>
      <c r="CE116" s="254">
        <f t="shared" si="32"/>
        <v>5171.0000000000018</v>
      </c>
      <c r="CF116" s="254">
        <f t="shared" si="32"/>
        <v>24000</v>
      </c>
      <c r="CG116" s="254">
        <f t="shared" si="32"/>
        <v>58500.000000000015</v>
      </c>
      <c r="CH116" s="236"/>
    </row>
    <row r="117" spans="59:86" ht="16.5" thickBot="1" x14ac:dyDescent="0.3"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62"/>
      <c r="BR117" s="249"/>
      <c r="BS117" s="250"/>
      <c r="BT117" s="250"/>
      <c r="BU117" s="252"/>
      <c r="BV117" s="249"/>
      <c r="BW117" s="250"/>
      <c r="BX117" s="250"/>
      <c r="BY117" s="252"/>
      <c r="BZ117" s="249"/>
      <c r="CA117" s="250"/>
      <c r="CB117" s="250"/>
      <c r="CC117" s="252"/>
      <c r="CD117" s="249"/>
      <c r="CE117" s="250"/>
      <c r="CF117" s="250"/>
      <c r="CG117" s="252"/>
      <c r="CH117" s="236"/>
    </row>
    <row r="118" spans="59:86" ht="16.5" thickBot="1" x14ac:dyDescent="0.3"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63">
        <f>BR116-BR101</f>
        <v>0</v>
      </c>
      <c r="BS118" s="264">
        <f t="shared" ref="BS118" si="33">BS116-BS101</f>
        <v>0</v>
      </c>
      <c r="BT118" s="264"/>
      <c r="BU118" s="265">
        <f t="shared" ref="BU118" si="34">BU116-BU101</f>
        <v>0</v>
      </c>
      <c r="BV118" s="263">
        <f>BV101-BV116</f>
        <v>0</v>
      </c>
      <c r="BW118" s="263">
        <f t="shared" ref="BW118:CG118" si="35">BW101-BW116</f>
        <v>0</v>
      </c>
      <c r="BX118" s="263">
        <f t="shared" si="35"/>
        <v>0</v>
      </c>
      <c r="BY118" s="263">
        <f t="shared" si="35"/>
        <v>0</v>
      </c>
      <c r="BZ118" s="263">
        <f t="shared" si="35"/>
        <v>0</v>
      </c>
      <c r="CA118" s="263">
        <f t="shared" si="35"/>
        <v>0</v>
      </c>
      <c r="CB118" s="263">
        <f t="shared" si="35"/>
        <v>0</v>
      </c>
      <c r="CC118" s="263">
        <f t="shared" si="35"/>
        <v>0</v>
      </c>
      <c r="CD118" s="263">
        <f t="shared" si="35"/>
        <v>0</v>
      </c>
      <c r="CE118" s="263">
        <f t="shared" si="35"/>
        <v>0</v>
      </c>
      <c r="CF118" s="263">
        <f t="shared" si="35"/>
        <v>0</v>
      </c>
      <c r="CG118" s="263">
        <f t="shared" si="35"/>
        <v>0</v>
      </c>
      <c r="CH118" s="236"/>
    </row>
    <row r="119" spans="59:86" ht="15.75" x14ac:dyDescent="0.25"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</row>
    <row r="120" spans="59:86" ht="15.75" x14ac:dyDescent="0.25"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</row>
    <row r="121" spans="59:86" ht="15.75" x14ac:dyDescent="0.25"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</row>
  </sheetData>
  <mergeCells count="30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  <mergeCell ref="A27:B29"/>
    <mergeCell ref="D27:E27"/>
    <mergeCell ref="F27:F29"/>
    <mergeCell ref="H27:I27"/>
    <mergeCell ref="D28:E28"/>
    <mergeCell ref="H28:I28"/>
    <mergeCell ref="D29:E29"/>
    <mergeCell ref="H29:I29"/>
    <mergeCell ref="M9:M10"/>
    <mergeCell ref="A19:F19"/>
    <mergeCell ref="H9:H10"/>
    <mergeCell ref="I9:I10"/>
    <mergeCell ref="J9:J10"/>
    <mergeCell ref="K9:K10"/>
  </mergeCells>
  <pageMargins left="0.3" right="0.2" top="0.51" bottom="0.25" header="0.3" footer="0.3"/>
  <pageSetup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workbookViewId="0">
      <selection sqref="A1:L21"/>
    </sheetView>
  </sheetViews>
  <sheetFormatPr defaultRowHeight="15" x14ac:dyDescent="0.25"/>
  <cols>
    <col min="1" max="1" width="15.28515625" style="7" customWidth="1"/>
    <col min="2" max="2" width="54.140625" style="7" customWidth="1"/>
    <col min="3" max="3" width="17.140625" customWidth="1"/>
    <col min="4" max="4" width="14.42578125" customWidth="1"/>
    <col min="5" max="9" width="12" style="7" customWidth="1"/>
    <col min="10" max="10" width="34.28515625" style="134" customWidth="1"/>
  </cols>
  <sheetData>
    <row r="2" spans="1:15" s="96" customFormat="1" ht="15.75" x14ac:dyDescent="0.25">
      <c r="A2" s="129" t="s">
        <v>91</v>
      </c>
      <c r="B2" s="42"/>
      <c r="C2" s="130"/>
      <c r="E2" s="42"/>
      <c r="F2" s="42"/>
      <c r="G2" s="42"/>
      <c r="H2" s="42"/>
      <c r="I2" s="42"/>
      <c r="J2" s="131"/>
    </row>
    <row r="3" spans="1:15" s="134" customFormat="1" x14ac:dyDescent="0.25">
      <c r="A3" s="132" t="s">
        <v>189</v>
      </c>
      <c r="B3" s="47"/>
      <c r="C3" s="133"/>
      <c r="E3" s="47"/>
      <c r="F3" s="47"/>
      <c r="G3" s="47"/>
      <c r="H3" s="47"/>
      <c r="I3" s="47"/>
    </row>
    <row r="4" spans="1:15" ht="15.75" thickBot="1" x14ac:dyDescent="0.3"/>
    <row r="5" spans="1:15" s="135" customFormat="1" ht="24" customHeight="1" x14ac:dyDescent="0.25">
      <c r="A5" s="206" t="s">
        <v>34</v>
      </c>
      <c r="B5" s="207">
        <v>1014045</v>
      </c>
      <c r="C5" s="208" t="s">
        <v>92</v>
      </c>
      <c r="D5" s="417" t="s">
        <v>33</v>
      </c>
      <c r="E5" s="418"/>
      <c r="F5" s="418"/>
      <c r="G5" s="418"/>
      <c r="H5" s="418"/>
      <c r="I5" s="419"/>
      <c r="J5" s="209" t="s">
        <v>63</v>
      </c>
      <c r="K5" s="210"/>
      <c r="L5" s="210"/>
      <c r="M5" s="210"/>
      <c r="N5" s="210"/>
      <c r="O5" s="210"/>
    </row>
    <row r="6" spans="1:15" s="135" customFormat="1" ht="90" customHeight="1" x14ac:dyDescent="0.25">
      <c r="A6" s="138" t="s">
        <v>93</v>
      </c>
      <c r="B6" s="211" t="s">
        <v>221</v>
      </c>
      <c r="C6" s="212"/>
      <c r="D6" s="213"/>
      <c r="E6" s="214"/>
      <c r="F6" s="214"/>
      <c r="G6" s="214"/>
      <c r="H6" s="214"/>
      <c r="I6" s="215"/>
      <c r="J6" s="216" t="s">
        <v>95</v>
      </c>
      <c r="K6" s="210"/>
      <c r="L6" s="210"/>
      <c r="M6" s="210"/>
      <c r="N6" s="210"/>
      <c r="O6" s="210"/>
    </row>
    <row r="7" spans="1:15" s="135" customFormat="1" ht="15.75" customHeight="1" x14ac:dyDescent="0.25">
      <c r="A7" s="217"/>
      <c r="B7" s="218"/>
      <c r="C7" s="136"/>
      <c r="D7" s="420" t="s">
        <v>96</v>
      </c>
      <c r="E7" s="420"/>
      <c r="F7" s="420"/>
      <c r="G7" s="420"/>
      <c r="H7" s="420"/>
      <c r="I7" s="420"/>
      <c r="J7" s="216" t="s">
        <v>95</v>
      </c>
      <c r="K7" s="210"/>
      <c r="L7" s="210"/>
      <c r="M7" s="210"/>
      <c r="N7" s="210"/>
      <c r="O7" s="210"/>
    </row>
    <row r="8" spans="1:15" s="141" customFormat="1" ht="70.5" customHeight="1" x14ac:dyDescent="0.25">
      <c r="A8" s="421" t="s">
        <v>152</v>
      </c>
      <c r="B8" s="422"/>
      <c r="C8" s="136" t="s">
        <v>97</v>
      </c>
      <c r="D8" s="137" t="s">
        <v>153</v>
      </c>
      <c r="E8" s="138" t="s">
        <v>98</v>
      </c>
      <c r="F8" s="136" t="s">
        <v>99</v>
      </c>
      <c r="G8" s="136" t="s">
        <v>227</v>
      </c>
      <c r="H8" s="139" t="s">
        <v>228</v>
      </c>
      <c r="I8" s="140" t="s">
        <v>100</v>
      </c>
      <c r="J8" s="219"/>
    </row>
    <row r="9" spans="1:15" s="135" customFormat="1" ht="24" customHeight="1" x14ac:dyDescent="0.25">
      <c r="A9" s="220" t="s">
        <v>101</v>
      </c>
      <c r="B9" s="205" t="s">
        <v>192</v>
      </c>
      <c r="C9" s="218" t="s">
        <v>80</v>
      </c>
      <c r="D9" s="221" t="s">
        <v>147</v>
      </c>
      <c r="E9" s="223">
        <v>255</v>
      </c>
      <c r="F9" s="222">
        <v>230</v>
      </c>
      <c r="G9" s="222">
        <v>230</v>
      </c>
      <c r="H9" s="322">
        <f>Sheet3!M11</f>
        <v>209</v>
      </c>
      <c r="I9" s="224">
        <f t="shared" ref="I9:I15" si="0">H9/G9</f>
        <v>0.90869565217391302</v>
      </c>
      <c r="J9" s="317" t="s">
        <v>212</v>
      </c>
      <c r="K9" s="210"/>
      <c r="L9" s="210"/>
      <c r="M9" s="210"/>
      <c r="N9" s="210"/>
      <c r="O9" s="210"/>
    </row>
    <row r="10" spans="1:15" s="135" customFormat="1" ht="36" customHeight="1" x14ac:dyDescent="0.25">
      <c r="A10" s="220" t="s">
        <v>102</v>
      </c>
      <c r="B10" s="205" t="s">
        <v>194</v>
      </c>
      <c r="C10" s="218" t="s">
        <v>78</v>
      </c>
      <c r="D10" s="221" t="s">
        <v>149</v>
      </c>
      <c r="E10" s="226">
        <v>12</v>
      </c>
      <c r="F10" s="225">
        <v>12</v>
      </c>
      <c r="G10" s="225">
        <v>12</v>
      </c>
      <c r="H10" s="226">
        <v>20</v>
      </c>
      <c r="I10" s="224">
        <f t="shared" si="0"/>
        <v>1.6666666666666667</v>
      </c>
      <c r="J10" s="317" t="s">
        <v>219</v>
      </c>
      <c r="K10" s="210"/>
      <c r="L10" s="210"/>
      <c r="M10" s="210"/>
      <c r="N10" s="210"/>
      <c r="O10" s="210"/>
    </row>
    <row r="11" spans="1:15" s="135" customFormat="1" ht="28.5" customHeight="1" thickBot="1" x14ac:dyDescent="0.3">
      <c r="A11" s="227" t="s">
        <v>104</v>
      </c>
      <c r="B11" s="228" t="s">
        <v>193</v>
      </c>
      <c r="C11" s="229" t="s">
        <v>84</v>
      </c>
      <c r="D11" s="230" t="s">
        <v>150</v>
      </c>
      <c r="E11" s="232">
        <v>45</v>
      </c>
      <c r="F11" s="231">
        <v>48</v>
      </c>
      <c r="G11" s="231">
        <v>48</v>
      </c>
      <c r="H11" s="232">
        <v>51</v>
      </c>
      <c r="I11" s="224">
        <f t="shared" si="0"/>
        <v>1.0625</v>
      </c>
      <c r="J11" s="317" t="s">
        <v>208</v>
      </c>
      <c r="K11" s="210"/>
      <c r="L11" s="210"/>
      <c r="M11" s="210"/>
      <c r="N11" s="210"/>
      <c r="O11" s="210"/>
    </row>
    <row r="12" spans="1:15" ht="34.5" customHeight="1" x14ac:dyDescent="0.25">
      <c r="A12" s="220" t="s">
        <v>148</v>
      </c>
      <c r="B12" s="205" t="s">
        <v>195</v>
      </c>
      <c r="C12" s="218" t="s">
        <v>82</v>
      </c>
      <c r="D12" s="221" t="s">
        <v>151</v>
      </c>
      <c r="E12" s="217">
        <v>312</v>
      </c>
      <c r="F12" s="225">
        <v>290</v>
      </c>
      <c r="G12" s="225">
        <v>290</v>
      </c>
      <c r="H12" s="226">
        <v>280</v>
      </c>
      <c r="I12" s="224">
        <f t="shared" si="0"/>
        <v>0.96551724137931039</v>
      </c>
      <c r="J12" s="317" t="s">
        <v>211</v>
      </c>
      <c r="K12" s="233"/>
      <c r="L12" s="233"/>
      <c r="M12" s="233"/>
      <c r="N12" s="233"/>
      <c r="O12" s="233"/>
    </row>
    <row r="13" spans="1:15" s="134" customFormat="1" ht="41.25" customHeight="1" x14ac:dyDescent="0.2">
      <c r="A13" s="220" t="s">
        <v>197</v>
      </c>
      <c r="B13" s="205" t="s">
        <v>196</v>
      </c>
      <c r="C13" s="218" t="s">
        <v>125</v>
      </c>
      <c r="D13" s="221" t="s">
        <v>203</v>
      </c>
      <c r="E13" s="217">
        <v>0</v>
      </c>
      <c r="F13" s="225">
        <v>1</v>
      </c>
      <c r="G13" s="225">
        <v>1</v>
      </c>
      <c r="H13" s="226">
        <v>1</v>
      </c>
      <c r="I13" s="224">
        <f t="shared" si="0"/>
        <v>1</v>
      </c>
      <c r="J13" s="317" t="s">
        <v>220</v>
      </c>
    </row>
    <row r="14" spans="1:15" s="134" customFormat="1" ht="18.75" customHeight="1" x14ac:dyDescent="0.2">
      <c r="A14" s="220" t="s">
        <v>198</v>
      </c>
      <c r="B14" s="205" t="s">
        <v>167</v>
      </c>
      <c r="C14" s="218" t="s">
        <v>200</v>
      </c>
      <c r="D14" s="221" t="s">
        <v>202</v>
      </c>
      <c r="E14" s="217">
        <v>0</v>
      </c>
      <c r="F14" s="225">
        <v>10</v>
      </c>
      <c r="G14" s="225">
        <v>16</v>
      </c>
      <c r="H14" s="226">
        <v>16</v>
      </c>
      <c r="I14" s="224">
        <f t="shared" si="0"/>
        <v>1</v>
      </c>
      <c r="J14" s="317" t="s">
        <v>209</v>
      </c>
    </row>
    <row r="15" spans="1:15" s="134" customFormat="1" ht="18.75" customHeight="1" x14ac:dyDescent="0.2">
      <c r="A15" s="220" t="s">
        <v>199</v>
      </c>
      <c r="B15" s="205" t="s">
        <v>166</v>
      </c>
      <c r="C15" s="218" t="s">
        <v>201</v>
      </c>
      <c r="D15" s="221" t="s">
        <v>202</v>
      </c>
      <c r="E15" s="217">
        <v>0</v>
      </c>
      <c r="F15" s="225">
        <v>3</v>
      </c>
      <c r="G15" s="225">
        <v>4</v>
      </c>
      <c r="H15" s="226">
        <v>4</v>
      </c>
      <c r="I15" s="224">
        <f t="shared" si="0"/>
        <v>1</v>
      </c>
      <c r="J15" s="317" t="s">
        <v>209</v>
      </c>
    </row>
    <row r="16" spans="1:15" s="134" customFormat="1" ht="12.75" x14ac:dyDescent="0.2">
      <c r="A16" s="234"/>
      <c r="B16" s="234"/>
      <c r="C16" s="233"/>
      <c r="D16" s="233"/>
      <c r="E16" s="234"/>
      <c r="F16" s="234"/>
      <c r="G16" s="234"/>
      <c r="H16" s="234"/>
      <c r="I16" s="234"/>
    </row>
    <row r="17" spans="1:15" x14ac:dyDescent="0.25">
      <c r="A17" s="142" t="s">
        <v>154</v>
      </c>
      <c r="B17" s="134"/>
      <c r="C17" s="143"/>
      <c r="D17" s="134"/>
      <c r="E17" s="47"/>
      <c r="F17" s="47"/>
      <c r="G17" s="47"/>
      <c r="H17" s="47"/>
      <c r="I17" s="47"/>
      <c r="K17" s="233"/>
      <c r="L17" s="233"/>
      <c r="M17" s="233"/>
      <c r="N17" s="233"/>
      <c r="O17" s="233"/>
    </row>
    <row r="18" spans="1:15" x14ac:dyDescent="0.25">
      <c r="A18" s="142" t="s">
        <v>155</v>
      </c>
      <c r="B18" s="134"/>
      <c r="C18" s="143"/>
      <c r="D18" s="134"/>
      <c r="E18" s="47"/>
      <c r="F18" s="47"/>
      <c r="G18" s="47"/>
      <c r="H18" s="47"/>
      <c r="I18" s="47"/>
      <c r="K18" s="233"/>
      <c r="L18" s="233"/>
      <c r="M18" s="233"/>
      <c r="N18" s="233"/>
      <c r="O18" s="233"/>
    </row>
    <row r="19" spans="1:15" x14ac:dyDescent="0.25">
      <c r="A19" s="142" t="s">
        <v>156</v>
      </c>
      <c r="B19" s="134"/>
      <c r="C19" s="143"/>
      <c r="D19" s="134"/>
      <c r="E19" s="47"/>
      <c r="F19" s="47"/>
      <c r="G19" s="47"/>
      <c r="H19" s="47"/>
      <c r="I19" s="47"/>
      <c r="K19" s="233"/>
      <c r="L19" s="233"/>
      <c r="M19" s="233"/>
      <c r="N19" s="233"/>
      <c r="O19" s="233"/>
    </row>
    <row r="20" spans="1:15" x14ac:dyDescent="0.25">
      <c r="A20" s="142" t="s">
        <v>106</v>
      </c>
      <c r="B20" s="134"/>
      <c r="C20" s="143"/>
      <c r="D20" s="134"/>
      <c r="E20" s="47"/>
      <c r="F20" s="47"/>
      <c r="G20" s="47"/>
      <c r="H20" s="47"/>
      <c r="I20" s="47"/>
      <c r="K20" s="233"/>
      <c r="L20" s="233"/>
      <c r="M20" s="233"/>
      <c r="N20" s="233"/>
      <c r="O20" s="233"/>
    </row>
    <row r="22" spans="1:15" s="135" customFormat="1" x14ac:dyDescent="0.25">
      <c r="A22" s="7"/>
      <c r="B22" s="7"/>
      <c r="C22"/>
      <c r="D22"/>
      <c r="E22" s="7"/>
      <c r="F22" s="7"/>
      <c r="G22" s="7"/>
      <c r="H22" s="7"/>
      <c r="I22" s="7"/>
      <c r="J22" s="134"/>
    </row>
    <row r="23" spans="1:15" s="135" customFormat="1" hidden="1" x14ac:dyDescent="0.25">
      <c r="A23" s="144" t="s">
        <v>107</v>
      </c>
      <c r="B23" s="145"/>
      <c r="C23" s="146"/>
      <c r="D23" s="146"/>
      <c r="E23" s="145"/>
      <c r="F23" s="145"/>
      <c r="G23" s="145"/>
      <c r="H23" s="145"/>
      <c r="I23" s="145"/>
      <c r="J23" s="134"/>
    </row>
    <row r="24" spans="1:15" s="135" customFormat="1" ht="15.75" hidden="1" customHeight="1" x14ac:dyDescent="0.25">
      <c r="A24" s="147" t="s">
        <v>108</v>
      </c>
      <c r="B24" s="145"/>
      <c r="C24" s="148"/>
      <c r="D24" s="146"/>
      <c r="E24" s="145"/>
      <c r="F24" s="145"/>
      <c r="G24" s="145"/>
      <c r="H24" s="145"/>
      <c r="I24" s="145"/>
      <c r="J24" s="134"/>
    </row>
    <row r="25" spans="1:15" s="141" customFormat="1" ht="15.75" hidden="1" thickBot="1" x14ac:dyDescent="0.3">
      <c r="A25" s="145"/>
      <c r="B25" s="145"/>
      <c r="C25" s="146"/>
      <c r="D25" s="146"/>
      <c r="E25" s="145"/>
      <c r="F25" s="145"/>
      <c r="G25" s="145"/>
      <c r="H25" s="145"/>
      <c r="I25" s="145"/>
      <c r="J25" s="134"/>
    </row>
    <row r="26" spans="1:15" s="135" customFormat="1" ht="12" hidden="1" customHeight="1" thickTop="1" x14ac:dyDescent="0.25">
      <c r="A26" s="149"/>
      <c r="B26" s="150" t="s">
        <v>92</v>
      </c>
      <c r="C26" s="151"/>
      <c r="D26" s="405"/>
      <c r="E26" s="406"/>
      <c r="F26" s="406"/>
      <c r="G26" s="406"/>
      <c r="H26" s="407"/>
      <c r="I26" s="152"/>
      <c r="J26" s="153"/>
    </row>
    <row r="27" spans="1:15" s="135" customFormat="1" ht="12" hidden="1" customHeight="1" x14ac:dyDescent="0.25">
      <c r="A27" s="154" t="s">
        <v>93</v>
      </c>
      <c r="B27" s="155" t="s">
        <v>94</v>
      </c>
      <c r="C27" s="156"/>
      <c r="D27" s="408"/>
      <c r="E27" s="409"/>
      <c r="F27" s="409"/>
      <c r="G27" s="409"/>
      <c r="H27" s="410"/>
      <c r="I27" s="157"/>
      <c r="J27" s="158" t="s">
        <v>109</v>
      </c>
    </row>
    <row r="28" spans="1:15" s="135" customFormat="1" ht="12" hidden="1" customHeight="1" x14ac:dyDescent="0.25">
      <c r="A28" s="411" t="s">
        <v>110</v>
      </c>
      <c r="B28" s="412"/>
      <c r="C28" s="156"/>
      <c r="D28" s="415" t="s">
        <v>111</v>
      </c>
      <c r="E28" s="416"/>
      <c r="F28" s="416"/>
      <c r="G28" s="416"/>
      <c r="H28" s="416"/>
      <c r="I28" s="416"/>
      <c r="J28" s="159"/>
    </row>
    <row r="29" spans="1:15" s="135" customFormat="1" ht="12" hidden="1" customHeight="1" x14ac:dyDescent="0.25">
      <c r="A29" s="413"/>
      <c r="B29" s="414"/>
      <c r="C29" s="160" t="s">
        <v>97</v>
      </c>
      <c r="D29" s="160" t="s">
        <v>65</v>
      </c>
      <c r="E29" s="161" t="s">
        <v>112</v>
      </c>
      <c r="F29" s="162" t="s">
        <v>113</v>
      </c>
      <c r="G29" s="162" t="s">
        <v>114</v>
      </c>
      <c r="H29" s="162" t="s">
        <v>115</v>
      </c>
      <c r="I29" s="161" t="s">
        <v>116</v>
      </c>
      <c r="J29" s="163"/>
    </row>
    <row r="30" spans="1:15" s="135" customFormat="1" ht="12" hidden="1" customHeight="1" x14ac:dyDescent="0.25">
      <c r="A30" s="154" t="s">
        <v>101</v>
      </c>
      <c r="B30" s="161" t="s">
        <v>117</v>
      </c>
      <c r="C30" s="164"/>
      <c r="D30" s="164"/>
      <c r="E30" s="164"/>
      <c r="F30" s="164"/>
      <c r="G30" s="164"/>
      <c r="H30" s="164"/>
      <c r="I30" s="164"/>
      <c r="J30" s="158" t="s">
        <v>118</v>
      </c>
    </row>
    <row r="31" spans="1:15" s="135" customFormat="1" ht="12" hidden="1" customHeight="1" x14ac:dyDescent="0.25">
      <c r="A31" s="154"/>
      <c r="B31" s="165"/>
      <c r="C31" s="165" t="s">
        <v>82</v>
      </c>
      <c r="D31" s="166" t="s">
        <v>119</v>
      </c>
      <c r="E31" s="155">
        <v>35</v>
      </c>
      <c r="F31" s="167">
        <v>32</v>
      </c>
      <c r="G31" s="167">
        <v>33</v>
      </c>
      <c r="H31" s="167">
        <v>33</v>
      </c>
      <c r="I31" s="168">
        <f>H31/G31</f>
        <v>1</v>
      </c>
      <c r="J31" s="158" t="s">
        <v>120</v>
      </c>
    </row>
    <row r="32" spans="1:15" s="135" customFormat="1" ht="12" hidden="1" customHeight="1" x14ac:dyDescent="0.25">
      <c r="A32" s="154"/>
      <c r="B32" s="155"/>
      <c r="C32" s="155" t="s">
        <v>84</v>
      </c>
      <c r="D32" s="169" t="s">
        <v>121</v>
      </c>
      <c r="E32" s="165">
        <v>1000</v>
      </c>
      <c r="F32" s="167">
        <v>2000</v>
      </c>
      <c r="G32" s="167">
        <v>1900</v>
      </c>
      <c r="H32" s="167">
        <v>2100</v>
      </c>
      <c r="I32" s="168">
        <f>H32/G32</f>
        <v>1.1052631578947369</v>
      </c>
      <c r="J32" s="158" t="s">
        <v>122</v>
      </c>
    </row>
    <row r="33" spans="1:12" s="135" customFormat="1" ht="12" hidden="1" customHeight="1" x14ac:dyDescent="0.25">
      <c r="A33" s="154"/>
      <c r="B33" s="155"/>
      <c r="C33" s="165" t="s">
        <v>123</v>
      </c>
      <c r="D33" s="164" t="s">
        <v>124</v>
      </c>
      <c r="E33" s="155">
        <v>5000</v>
      </c>
      <c r="F33" s="167">
        <v>7000</v>
      </c>
      <c r="G33" s="167">
        <v>6900</v>
      </c>
      <c r="H33" s="167">
        <v>3000</v>
      </c>
      <c r="I33" s="168">
        <f>H33/G33</f>
        <v>0.43478260869565216</v>
      </c>
      <c r="J33" s="163" t="s">
        <v>95</v>
      </c>
    </row>
    <row r="34" spans="1:12" s="135" customFormat="1" ht="12" hidden="1" customHeight="1" x14ac:dyDescent="0.25">
      <c r="A34" s="154" t="s">
        <v>102</v>
      </c>
      <c r="B34" s="155" t="s">
        <v>103</v>
      </c>
      <c r="C34" s="155" t="s">
        <v>125</v>
      </c>
      <c r="D34" s="164" t="s">
        <v>126</v>
      </c>
      <c r="E34" s="167">
        <v>15</v>
      </c>
      <c r="F34" s="167">
        <v>25</v>
      </c>
      <c r="G34" s="167">
        <v>25</v>
      </c>
      <c r="H34" s="167">
        <v>25</v>
      </c>
      <c r="I34" s="168">
        <f>H34/G34</f>
        <v>1</v>
      </c>
      <c r="J34" s="163" t="s">
        <v>95</v>
      </c>
    </row>
    <row r="35" spans="1:12" ht="12" hidden="1" customHeight="1" x14ac:dyDescent="0.25">
      <c r="A35" s="170"/>
      <c r="B35" s="155"/>
      <c r="C35" s="164"/>
      <c r="D35" s="164"/>
      <c r="E35" s="155"/>
      <c r="F35" s="171"/>
      <c r="G35" s="171"/>
      <c r="H35" s="171"/>
      <c r="I35" s="171"/>
      <c r="J35" s="163" t="s">
        <v>95</v>
      </c>
    </row>
    <row r="36" spans="1:12" ht="12" hidden="1" customHeight="1" x14ac:dyDescent="0.25">
      <c r="A36" s="154"/>
      <c r="B36" s="155"/>
      <c r="C36" s="164"/>
      <c r="D36" s="164"/>
      <c r="E36" s="155"/>
      <c r="F36" s="171"/>
      <c r="G36" s="171"/>
      <c r="H36" s="171"/>
      <c r="I36" s="171"/>
      <c r="J36" s="163" t="s">
        <v>95</v>
      </c>
    </row>
    <row r="37" spans="1:12" hidden="1" x14ac:dyDescent="0.25">
      <c r="A37" s="154"/>
      <c r="B37" s="155"/>
      <c r="C37" s="164"/>
      <c r="D37" s="164"/>
      <c r="E37" s="155"/>
      <c r="F37" s="171"/>
      <c r="G37" s="171"/>
      <c r="H37" s="171"/>
      <c r="I37" s="171"/>
      <c r="J37" s="163" t="s">
        <v>95</v>
      </c>
    </row>
    <row r="38" spans="1:12" ht="15" hidden="1" customHeight="1" thickBot="1" x14ac:dyDescent="0.3">
      <c r="A38" s="172" t="s">
        <v>104</v>
      </c>
      <c r="B38" s="173" t="s">
        <v>105</v>
      </c>
      <c r="C38" s="174"/>
      <c r="D38" s="174"/>
      <c r="E38" s="173"/>
      <c r="F38" s="175"/>
      <c r="G38" s="175"/>
      <c r="H38" s="175"/>
      <c r="I38" s="175"/>
      <c r="J38" s="176" t="s">
        <v>95</v>
      </c>
      <c r="K38" s="403"/>
      <c r="L38" s="404"/>
    </row>
    <row r="39" spans="1:12" ht="15.75" hidden="1" thickTop="1" x14ac:dyDescent="0.25">
      <c r="K39" s="403"/>
      <c r="L39" s="404"/>
    </row>
    <row r="40" spans="1:12" hidden="1" x14ac:dyDescent="0.25">
      <c r="K40" s="403"/>
      <c r="L40" s="404"/>
    </row>
    <row r="41" spans="1:12" hidden="1" x14ac:dyDescent="0.25"/>
    <row r="42" spans="1:12" hidden="1" x14ac:dyDescent="0.25">
      <c r="A42" s="378"/>
      <c r="B42" s="375" t="s">
        <v>56</v>
      </c>
      <c r="C42" s="128" t="s">
        <v>27</v>
      </c>
      <c r="D42" s="333"/>
      <c r="E42" s="334"/>
      <c r="F42" s="375" t="s">
        <v>26</v>
      </c>
      <c r="G42" s="423"/>
      <c r="H42" s="376"/>
      <c r="I42" s="128" t="s">
        <v>27</v>
      </c>
      <c r="J42" s="55"/>
    </row>
    <row r="43" spans="1:12" hidden="1" x14ac:dyDescent="0.25">
      <c r="A43" s="378"/>
      <c r="B43" s="377"/>
      <c r="C43" s="128" t="s">
        <v>28</v>
      </c>
      <c r="D43" s="333"/>
      <c r="E43" s="334"/>
      <c r="F43" s="377"/>
      <c r="G43" s="424"/>
      <c r="H43" s="378"/>
      <c r="I43" s="128" t="s">
        <v>28</v>
      </c>
      <c r="J43" s="55"/>
    </row>
    <row r="44" spans="1:12" hidden="1" x14ac:dyDescent="0.25">
      <c r="A44" s="378"/>
      <c r="B44" s="379"/>
      <c r="C44" s="128" t="s">
        <v>29</v>
      </c>
      <c r="D44" s="333"/>
      <c r="E44" s="334"/>
      <c r="F44" s="379"/>
      <c r="G44" s="425"/>
      <c r="H44" s="380"/>
      <c r="I44" s="128" t="s">
        <v>29</v>
      </c>
      <c r="J44" s="55"/>
    </row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mergeCells count="16">
    <mergeCell ref="A42:A44"/>
    <mergeCell ref="B42:B44"/>
    <mergeCell ref="D42:E42"/>
    <mergeCell ref="F42:H44"/>
    <mergeCell ref="D43:E43"/>
    <mergeCell ref="D44:E44"/>
    <mergeCell ref="A28:B29"/>
    <mergeCell ref="D28:I28"/>
    <mergeCell ref="D5:I5"/>
    <mergeCell ref="D7:I7"/>
    <mergeCell ref="A8:B8"/>
    <mergeCell ref="K38:L38"/>
    <mergeCell ref="K39:L39"/>
    <mergeCell ref="K40:L40"/>
    <mergeCell ref="D26:H26"/>
    <mergeCell ref="D27:H27"/>
  </mergeCells>
  <pageMargins left="0.36" right="0.1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workbookViewId="0">
      <selection activeCell="C32" sqref="C32"/>
    </sheetView>
  </sheetViews>
  <sheetFormatPr defaultRowHeight="12.75" x14ac:dyDescent="0.25"/>
  <cols>
    <col min="1" max="1" width="9.140625" style="187"/>
    <col min="2" max="2" width="31.42578125" style="187" customWidth="1"/>
    <col min="3" max="10" width="10.42578125" style="187" customWidth="1"/>
    <col min="11" max="11" width="18.5703125" style="187" customWidth="1"/>
    <col min="12" max="16384" width="9.140625" style="187"/>
  </cols>
  <sheetData>
    <row r="2" spans="1:11" s="178" customFormat="1" ht="15.75" x14ac:dyDescent="0.25">
      <c r="A2" s="177" t="s">
        <v>127</v>
      </c>
      <c r="C2" s="179"/>
      <c r="G2" s="180"/>
      <c r="H2" s="180"/>
      <c r="I2" s="180"/>
    </row>
    <row r="3" spans="1:11" s="182" customFormat="1" x14ac:dyDescent="0.25">
      <c r="A3" s="181"/>
      <c r="G3" s="183"/>
      <c r="H3" s="183"/>
      <c r="I3" s="183"/>
    </row>
    <row r="4" spans="1:11" s="185" customFormat="1" x14ac:dyDescent="0.25">
      <c r="A4" s="184" t="s">
        <v>128</v>
      </c>
      <c r="C4" s="184"/>
      <c r="G4" s="186"/>
      <c r="H4" s="186"/>
      <c r="I4" s="186"/>
    </row>
    <row r="5" spans="1:11" ht="13.5" thickBot="1" x14ac:dyDescent="0.3">
      <c r="C5" s="188"/>
      <c r="E5" s="188"/>
      <c r="F5" s="188"/>
      <c r="G5" s="189"/>
      <c r="H5" s="189"/>
      <c r="I5" s="189"/>
    </row>
    <row r="6" spans="1:11" ht="33.75" customHeight="1" x14ac:dyDescent="0.25">
      <c r="A6" s="431" t="s">
        <v>129</v>
      </c>
      <c r="B6" s="434" t="s">
        <v>130</v>
      </c>
      <c r="C6" s="190" t="s">
        <v>131</v>
      </c>
      <c r="D6" s="190" t="s">
        <v>132</v>
      </c>
      <c r="E6" s="190" t="s">
        <v>133</v>
      </c>
      <c r="F6" s="190" t="s">
        <v>164</v>
      </c>
      <c r="G6" s="434" t="s">
        <v>165</v>
      </c>
      <c r="H6" s="434" t="s">
        <v>136</v>
      </c>
      <c r="I6" s="434" t="s">
        <v>137</v>
      </c>
      <c r="J6" s="434" t="s">
        <v>138</v>
      </c>
      <c r="K6" s="426" t="s">
        <v>63</v>
      </c>
    </row>
    <row r="7" spans="1:11" ht="12.75" customHeight="1" x14ac:dyDescent="0.25">
      <c r="A7" s="432"/>
      <c r="B7" s="429"/>
      <c r="C7" s="191" t="s">
        <v>139</v>
      </c>
      <c r="D7" s="191" t="s">
        <v>140</v>
      </c>
      <c r="E7" s="191" t="s">
        <v>140</v>
      </c>
      <c r="F7" s="429" t="s">
        <v>141</v>
      </c>
      <c r="G7" s="429"/>
      <c r="H7" s="429"/>
      <c r="I7" s="429"/>
      <c r="J7" s="429"/>
      <c r="K7" s="427"/>
    </row>
    <row r="8" spans="1:11" ht="50.25" customHeight="1" thickBot="1" x14ac:dyDescent="0.3">
      <c r="A8" s="433"/>
      <c r="B8" s="430"/>
      <c r="C8" s="192" t="s">
        <v>142</v>
      </c>
      <c r="D8" s="192" t="s">
        <v>142</v>
      </c>
      <c r="E8" s="192" t="s">
        <v>142</v>
      </c>
      <c r="F8" s="430"/>
      <c r="G8" s="430"/>
      <c r="H8" s="430"/>
      <c r="I8" s="430"/>
      <c r="J8" s="430"/>
      <c r="K8" s="428"/>
    </row>
    <row r="9" spans="1:11" ht="51.75" customHeight="1" thickBot="1" x14ac:dyDescent="0.3">
      <c r="A9" s="193" t="s">
        <v>162</v>
      </c>
      <c r="B9" s="194" t="s">
        <v>163</v>
      </c>
      <c r="C9" s="235">
        <v>52560</v>
      </c>
      <c r="D9" s="194">
        <v>2018</v>
      </c>
      <c r="E9" s="194">
        <v>2023</v>
      </c>
      <c r="F9" s="235"/>
      <c r="G9" s="194">
        <v>14000</v>
      </c>
      <c r="H9" s="235">
        <v>14000</v>
      </c>
      <c r="I9" s="235">
        <v>14000</v>
      </c>
      <c r="J9" s="235">
        <v>14000</v>
      </c>
      <c r="K9" s="201" t="s">
        <v>216</v>
      </c>
    </row>
    <row r="10" spans="1:11" ht="26.25" thickBot="1" x14ac:dyDescent="0.3">
      <c r="A10" s="193" t="s">
        <v>162</v>
      </c>
      <c r="B10" s="197" t="s">
        <v>166</v>
      </c>
      <c r="C10" s="197">
        <v>700</v>
      </c>
      <c r="D10" s="197">
        <v>2018</v>
      </c>
      <c r="E10" s="197">
        <v>2018</v>
      </c>
      <c r="F10" s="197"/>
      <c r="G10" s="197">
        <v>700</v>
      </c>
      <c r="H10" s="197">
        <v>472</v>
      </c>
      <c r="I10" s="197">
        <v>472</v>
      </c>
      <c r="J10" s="197">
        <v>472</v>
      </c>
      <c r="K10" s="201" t="s">
        <v>213</v>
      </c>
    </row>
    <row r="11" spans="1:11" ht="26.25" thickBot="1" x14ac:dyDescent="0.3">
      <c r="A11" s="193" t="s">
        <v>168</v>
      </c>
      <c r="B11" s="200" t="s">
        <v>167</v>
      </c>
      <c r="C11" s="200">
        <v>300</v>
      </c>
      <c r="D11" s="200">
        <v>2018</v>
      </c>
      <c r="E11" s="200">
        <v>2018</v>
      </c>
      <c r="F11" s="200"/>
      <c r="G11" s="200">
        <v>300</v>
      </c>
      <c r="H11" s="200">
        <v>197</v>
      </c>
      <c r="I11" s="200">
        <v>197</v>
      </c>
      <c r="J11" s="200">
        <v>197</v>
      </c>
      <c r="K11" s="201" t="s">
        <v>213</v>
      </c>
    </row>
    <row r="12" spans="1:11" x14ac:dyDescent="0.2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11" x14ac:dyDescent="0.25">
      <c r="E13" s="189"/>
      <c r="F13" s="189"/>
      <c r="G13" s="189"/>
      <c r="H13" s="189"/>
      <c r="I13" s="189"/>
    </row>
    <row r="14" spans="1:11" x14ac:dyDescent="0.25">
      <c r="G14" s="189"/>
      <c r="H14" s="189"/>
      <c r="I14" s="189"/>
    </row>
    <row r="15" spans="1:11" s="185" customFormat="1" x14ac:dyDescent="0.25">
      <c r="A15" s="184" t="s">
        <v>143</v>
      </c>
      <c r="G15" s="186"/>
      <c r="H15" s="186"/>
      <c r="I15" s="186"/>
    </row>
    <row r="16" spans="1:11" ht="16.5" thickBot="1" x14ac:dyDescent="0.3">
      <c r="C16" s="202"/>
      <c r="D16" s="203"/>
      <c r="E16" s="188"/>
      <c r="F16" s="188"/>
      <c r="G16" s="203"/>
      <c r="H16" s="204"/>
      <c r="I16" s="204"/>
    </row>
    <row r="17" spans="1:12" ht="33.75" customHeight="1" x14ac:dyDescent="0.25">
      <c r="A17" s="431" t="s">
        <v>129</v>
      </c>
      <c r="B17" s="434" t="s">
        <v>130</v>
      </c>
      <c r="C17" s="190" t="s">
        <v>144</v>
      </c>
      <c r="D17" s="190" t="s">
        <v>131</v>
      </c>
      <c r="E17" s="190" t="s">
        <v>132</v>
      </c>
      <c r="F17" s="190" t="s">
        <v>145</v>
      </c>
      <c r="G17" s="190" t="s">
        <v>134</v>
      </c>
      <c r="H17" s="434" t="s">
        <v>135</v>
      </c>
      <c r="I17" s="434" t="s">
        <v>137</v>
      </c>
      <c r="J17" s="434" t="s">
        <v>136</v>
      </c>
      <c r="K17" s="434" t="s">
        <v>138</v>
      </c>
      <c r="L17" s="426" t="s">
        <v>63</v>
      </c>
    </row>
    <row r="18" spans="1:12" x14ac:dyDescent="0.25">
      <c r="A18" s="432"/>
      <c r="B18" s="429"/>
      <c r="C18" s="191" t="s">
        <v>146</v>
      </c>
      <c r="D18" s="191" t="s">
        <v>139</v>
      </c>
      <c r="E18" s="191" t="s">
        <v>140</v>
      </c>
      <c r="F18" s="191" t="s">
        <v>140</v>
      </c>
      <c r="G18" s="191" t="s">
        <v>141</v>
      </c>
      <c r="H18" s="429"/>
      <c r="I18" s="429"/>
      <c r="J18" s="429"/>
      <c r="K18" s="429"/>
      <c r="L18" s="427"/>
    </row>
    <row r="19" spans="1:12" ht="30.75" customHeight="1" thickBot="1" x14ac:dyDescent="0.3">
      <c r="A19" s="433"/>
      <c r="B19" s="430"/>
      <c r="C19" s="192"/>
      <c r="D19" s="192" t="s">
        <v>142</v>
      </c>
      <c r="E19" s="192" t="s">
        <v>142</v>
      </c>
      <c r="F19" s="192" t="s">
        <v>142</v>
      </c>
      <c r="G19" s="192"/>
      <c r="H19" s="430"/>
      <c r="I19" s="430"/>
      <c r="J19" s="430"/>
      <c r="K19" s="430"/>
      <c r="L19" s="428"/>
    </row>
    <row r="20" spans="1:12" x14ac:dyDescent="0.25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5"/>
    </row>
    <row r="21" spans="1:12" x14ac:dyDescent="0.25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1:12" x14ac:dyDescent="0.25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8"/>
    </row>
    <row r="23" spans="1:12" ht="13.5" thickBot="1" x14ac:dyDescent="0.3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1"/>
    </row>
    <row r="27" spans="1:12" ht="12.75" customHeight="1" x14ac:dyDescent="0.2">
      <c r="A27" s="375" t="s">
        <v>56</v>
      </c>
      <c r="B27" s="376"/>
      <c r="C27" s="128" t="s">
        <v>27</v>
      </c>
      <c r="D27" s="333" t="s">
        <v>217</v>
      </c>
      <c r="E27" s="334"/>
      <c r="F27" s="381" t="s">
        <v>26</v>
      </c>
      <c r="G27" s="128" t="s">
        <v>27</v>
      </c>
      <c r="H27" s="333" t="s">
        <v>214</v>
      </c>
      <c r="I27" s="334"/>
    </row>
    <row r="28" spans="1:12" x14ac:dyDescent="0.2">
      <c r="A28" s="377"/>
      <c r="B28" s="378"/>
      <c r="C28" s="128" t="s">
        <v>28</v>
      </c>
      <c r="D28" s="333"/>
      <c r="E28" s="334"/>
      <c r="F28" s="382"/>
      <c r="G28" s="128" t="s">
        <v>28</v>
      </c>
      <c r="H28" s="333"/>
      <c r="I28" s="334"/>
    </row>
    <row r="29" spans="1:12" x14ac:dyDescent="0.2">
      <c r="A29" s="379"/>
      <c r="B29" s="380"/>
      <c r="C29" s="128" t="s">
        <v>29</v>
      </c>
      <c r="D29" s="333"/>
      <c r="E29" s="334"/>
      <c r="F29" s="383"/>
      <c r="G29" s="128" t="s">
        <v>29</v>
      </c>
      <c r="H29" s="333"/>
      <c r="I29" s="334"/>
    </row>
  </sheetData>
  <mergeCells count="23">
    <mergeCell ref="K6:K8"/>
    <mergeCell ref="F7:F8"/>
    <mergeCell ref="A17:A19"/>
    <mergeCell ref="B17:B19"/>
    <mergeCell ref="H17:H19"/>
    <mergeCell ref="I17:I19"/>
    <mergeCell ref="J17:J19"/>
    <mergeCell ref="K17:K19"/>
    <mergeCell ref="A6:A8"/>
    <mergeCell ref="B6:B8"/>
    <mergeCell ref="G6:G8"/>
    <mergeCell ref="H6:H8"/>
    <mergeCell ref="I6:I8"/>
    <mergeCell ref="J6:J8"/>
    <mergeCell ref="L17:L19"/>
    <mergeCell ref="A27:B29"/>
    <mergeCell ref="D27:E27"/>
    <mergeCell ref="F27:F29"/>
    <mergeCell ref="H27:I27"/>
    <mergeCell ref="D28:E28"/>
    <mergeCell ref="H28:I28"/>
    <mergeCell ref="D29:E29"/>
    <mergeCell ref="H29:I29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2019-02-08T08:10:29Z</dcterms:modified>
</cp:coreProperties>
</file>