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neksi 1" sheetId="1" r:id="rId1"/>
    <sheet name="Aneksi 2" sheetId="2" r:id="rId2"/>
    <sheet name="Aneksi 3" sheetId="3" r:id="rId3"/>
    <sheet name="Aneksi 4" sheetId="4" r:id="rId4"/>
    <sheet name="Aneksi 5" sheetId="5" r:id="rId5"/>
    <sheet name="Sheet1" sheetId="6" r:id="rId6"/>
    <sheet name="Sheet2" sheetId="7" r:id="rId7"/>
  </sheets>
  <calcPr calcId="152511"/>
</workbook>
</file>

<file path=xl/calcChain.xml><?xml version="1.0" encoding="utf-8"?>
<calcChain xmlns="http://schemas.openxmlformats.org/spreadsheetml/2006/main">
  <c r="H12" i="2" l="1"/>
  <c r="H11" i="2"/>
  <c r="H10" i="2"/>
  <c r="G19" i="2"/>
  <c r="G12" i="2"/>
  <c r="G11" i="2"/>
  <c r="G10" i="2"/>
  <c r="F25" i="2"/>
  <c r="F19" i="2"/>
  <c r="F21" i="2" s="1"/>
  <c r="F26" i="2" s="1"/>
  <c r="F12" i="2"/>
  <c r="F17" i="2" s="1"/>
  <c r="F28" i="2" s="1"/>
  <c r="F11" i="2"/>
  <c r="F10" i="2"/>
  <c r="E25" i="2"/>
  <c r="E21" i="2"/>
  <c r="E26" i="2" s="1"/>
  <c r="E19" i="2"/>
  <c r="E12" i="2"/>
  <c r="E11" i="2"/>
  <c r="E17" i="2" s="1"/>
  <c r="E28" i="2" s="1"/>
  <c r="E10" i="2"/>
  <c r="D19" i="2"/>
  <c r="D12" i="2"/>
  <c r="D11" i="2"/>
  <c r="D10" i="2"/>
  <c r="C19" i="2"/>
  <c r="C12" i="2"/>
  <c r="C11" i="2"/>
  <c r="C10" i="2"/>
  <c r="E42" i="7"/>
  <c r="E41" i="7"/>
  <c r="N15" i="3"/>
  <c r="U53" i="7"/>
  <c r="U52" i="7"/>
  <c r="U51" i="7"/>
  <c r="U50" i="7"/>
  <c r="U49" i="7"/>
  <c r="L41" i="7"/>
  <c r="J41" i="7"/>
  <c r="M42" i="7" l="1"/>
  <c r="K42" i="7"/>
  <c r="J39" i="7"/>
  <c r="Q39" i="7"/>
  <c r="H48" i="7"/>
  <c r="Q83" i="7"/>
  <c r="S83" i="7" s="1"/>
  <c r="Q78" i="7"/>
  <c r="S78" i="7" s="1"/>
  <c r="S69" i="7"/>
  <c r="N66" i="7"/>
  <c r="M66" i="7"/>
  <c r="L66" i="7"/>
  <c r="H49" i="7"/>
  <c r="O44" i="7"/>
  <c r="I42" i="7"/>
  <c r="Q41" i="7"/>
  <c r="Q40" i="7"/>
  <c r="S31" i="7"/>
  <c r="S33" i="7" s="1"/>
  <c r="R31" i="7"/>
  <c r="S34" i="7" s="1"/>
  <c r="S35" i="7" s="1"/>
  <c r="Q31" i="7"/>
  <c r="Q33" i="7" s="1"/>
  <c r="P31" i="7"/>
  <c r="P33" i="7" s="1"/>
  <c r="O31" i="7"/>
  <c r="O33" i="7" s="1"/>
  <c r="N31" i="7"/>
  <c r="N33" i="7" s="1"/>
  <c r="M31" i="7"/>
  <c r="M33" i="7" s="1"/>
  <c r="L31" i="7"/>
  <c r="O34" i="7" s="1"/>
  <c r="O35" i="7" s="1"/>
  <c r="K31" i="7"/>
  <c r="K33" i="7" s="1"/>
  <c r="J26" i="7"/>
  <c r="I26" i="7"/>
  <c r="H26" i="7"/>
  <c r="E26" i="7"/>
  <c r="D26" i="7"/>
  <c r="F26" i="7" s="1"/>
  <c r="H51" i="7" s="1"/>
  <c r="C26" i="7"/>
  <c r="J25" i="7"/>
  <c r="I25" i="7"/>
  <c r="H25" i="7"/>
  <c r="E25" i="7"/>
  <c r="D25" i="7"/>
  <c r="C25" i="7"/>
  <c r="F25" i="7" s="1"/>
  <c r="H52" i="7" s="1"/>
  <c r="F24" i="7"/>
  <c r="F23" i="7"/>
  <c r="Y22" i="7"/>
  <c r="Y24" i="7" s="1"/>
  <c r="J22" i="7"/>
  <c r="I22" i="7"/>
  <c r="H22" i="7"/>
  <c r="F22" i="7"/>
  <c r="H50" i="7" s="1"/>
  <c r="E22" i="7"/>
  <c r="D22" i="7"/>
  <c r="C22" i="7"/>
  <c r="F21" i="7"/>
  <c r="J20" i="7"/>
  <c r="I20" i="7"/>
  <c r="H20" i="7"/>
  <c r="F20" i="7"/>
  <c r="E20" i="7"/>
  <c r="D20" i="7"/>
  <c r="C20" i="7"/>
  <c r="J19" i="7"/>
  <c r="J31" i="7" s="1"/>
  <c r="J33" i="7" s="1"/>
  <c r="H19" i="7"/>
  <c r="H31" i="7" s="1"/>
  <c r="E19" i="7"/>
  <c r="E31" i="7" s="1"/>
  <c r="D19" i="7"/>
  <c r="D31" i="7" s="1"/>
  <c r="C19" i="7"/>
  <c r="Q17" i="7"/>
  <c r="M17" i="7"/>
  <c r="I17" i="7"/>
  <c r="I19" i="7" s="1"/>
  <c r="I31" i="7" s="1"/>
  <c r="I33" i="7" s="1"/>
  <c r="Q14" i="7"/>
  <c r="N14" i="7"/>
  <c r="J14" i="7"/>
  <c r="E14" i="7"/>
  <c r="B9" i="7"/>
  <c r="S4" i="7"/>
  <c r="O4" i="7"/>
  <c r="K4" i="7"/>
  <c r="F4" i="7"/>
  <c r="Q42" i="7" l="1"/>
  <c r="Q44" i="7" s="1"/>
  <c r="N42" i="7"/>
  <c r="L42" i="7"/>
  <c r="J42" i="7"/>
  <c r="K34" i="7"/>
  <c r="K35" i="7" s="1"/>
  <c r="H33" i="7"/>
  <c r="R41" i="7"/>
  <c r="N41" i="7"/>
  <c r="P39" i="7"/>
  <c r="L39" i="7"/>
  <c r="N39" i="7"/>
  <c r="L40" i="7"/>
  <c r="J40" i="7"/>
  <c r="N40" i="7"/>
  <c r="F19" i="7"/>
  <c r="F31" i="7" s="1"/>
  <c r="C31" i="7"/>
  <c r="L33" i="7"/>
  <c r="R33" i="7"/>
  <c r="T42" i="6"/>
  <c r="V42" i="6"/>
  <c r="V41" i="6"/>
  <c r="V40" i="6"/>
  <c r="V39" i="6"/>
  <c r="T41" i="6"/>
  <c r="T40" i="6"/>
  <c r="T39" i="6"/>
  <c r="R42" i="7" l="1"/>
  <c r="P44" i="7"/>
  <c r="L44" i="7"/>
  <c r="N44" i="7"/>
  <c r="R40" i="7"/>
  <c r="J44" i="7"/>
  <c r="R39" i="7"/>
  <c r="V43" i="6"/>
  <c r="R44" i="7" l="1"/>
  <c r="K44" i="6"/>
  <c r="L44" i="6"/>
  <c r="M44" i="6"/>
  <c r="N44" i="6"/>
  <c r="O44" i="6"/>
  <c r="P44" i="6"/>
  <c r="T41" i="7" l="1"/>
  <c r="V41" i="7" s="1"/>
  <c r="T42" i="7"/>
  <c r="V42" i="7" s="1"/>
  <c r="T40" i="7"/>
  <c r="V40" i="7" s="1"/>
  <c r="T39" i="7"/>
  <c r="V39" i="7" s="1"/>
  <c r="P42" i="6"/>
  <c r="N42" i="6"/>
  <c r="L42" i="6"/>
  <c r="R41" i="6"/>
  <c r="P41" i="6"/>
  <c r="N41" i="6"/>
  <c r="L41" i="6"/>
  <c r="J41" i="6"/>
  <c r="N40" i="6"/>
  <c r="P40" i="6"/>
  <c r="L40" i="6"/>
  <c r="J40" i="6"/>
  <c r="P39" i="6"/>
  <c r="N39" i="6"/>
  <c r="L39" i="6"/>
  <c r="J39" i="6"/>
  <c r="H51" i="6"/>
  <c r="H52" i="6"/>
  <c r="H50" i="6"/>
  <c r="H49" i="6"/>
  <c r="H48" i="6"/>
  <c r="I42" i="6"/>
  <c r="J42" i="6" s="1"/>
  <c r="Q41" i="6"/>
  <c r="V43" i="7" l="1"/>
  <c r="J44" i="6"/>
  <c r="S83" i="6"/>
  <c r="Q83" i="6"/>
  <c r="Q78" i="6"/>
  <c r="S78" i="6" s="1"/>
  <c r="S69" i="6"/>
  <c r="N66" i="6"/>
  <c r="M66" i="6"/>
  <c r="L66" i="6"/>
  <c r="Q42" i="6"/>
  <c r="Q40" i="6"/>
  <c r="Q44" i="6" s="1"/>
  <c r="Q39" i="6"/>
  <c r="S31" i="6"/>
  <c r="S33" i="6" s="1"/>
  <c r="R31" i="6"/>
  <c r="R33" i="6" s="1"/>
  <c r="Q31" i="6"/>
  <c r="P31" i="6"/>
  <c r="O31" i="6"/>
  <c r="O33" i="6" s="1"/>
  <c r="N31" i="6"/>
  <c r="N33" i="6" s="1"/>
  <c r="M31" i="6"/>
  <c r="L31" i="6"/>
  <c r="K31" i="6"/>
  <c r="K33" i="6" s="1"/>
  <c r="J26" i="6"/>
  <c r="H26" i="6"/>
  <c r="E26" i="6"/>
  <c r="D26" i="6"/>
  <c r="C26" i="6"/>
  <c r="J25" i="6"/>
  <c r="H25" i="6"/>
  <c r="E25" i="6"/>
  <c r="D25" i="6"/>
  <c r="C25" i="6"/>
  <c r="F24" i="6"/>
  <c r="F23" i="6"/>
  <c r="Y22" i="6"/>
  <c r="Y24" i="6" s="1"/>
  <c r="J22" i="6"/>
  <c r="H22" i="6"/>
  <c r="E22" i="6"/>
  <c r="D22" i="6"/>
  <c r="C22" i="6"/>
  <c r="F21" i="6"/>
  <c r="J20" i="6"/>
  <c r="H20" i="6"/>
  <c r="E20" i="6"/>
  <c r="D20" i="6"/>
  <c r="C20" i="6"/>
  <c r="J19" i="6"/>
  <c r="J31" i="6" s="1"/>
  <c r="J33" i="6" s="1"/>
  <c r="H19" i="6"/>
  <c r="E19" i="6"/>
  <c r="D19" i="6"/>
  <c r="C19" i="6"/>
  <c r="F19" i="6" s="1"/>
  <c r="Q17" i="6"/>
  <c r="M17" i="6"/>
  <c r="I17" i="6"/>
  <c r="I22" i="6" s="1"/>
  <c r="Q14" i="6"/>
  <c r="N14" i="6"/>
  <c r="J14" i="6"/>
  <c r="E14" i="6"/>
  <c r="B9" i="6"/>
  <c r="S4" i="6"/>
  <c r="O4" i="6"/>
  <c r="K4" i="6"/>
  <c r="F4" i="6"/>
  <c r="I25" i="6" l="1"/>
  <c r="O34" i="6"/>
  <c r="O35" i="6" s="1"/>
  <c r="S34" i="6"/>
  <c r="S35" i="6" s="1"/>
  <c r="M33" i="6"/>
  <c r="D31" i="6"/>
  <c r="F20" i="6"/>
  <c r="F22" i="6"/>
  <c r="F26" i="6"/>
  <c r="I26" i="6"/>
  <c r="Q33" i="6"/>
  <c r="E31" i="6"/>
  <c r="F25" i="6"/>
  <c r="R40" i="6"/>
  <c r="C31" i="6"/>
  <c r="I19" i="6"/>
  <c r="L33" i="6"/>
  <c r="P33" i="6"/>
  <c r="H31" i="6"/>
  <c r="I20" i="6"/>
  <c r="I31" i="6" l="1"/>
  <c r="I33" i="6" s="1"/>
  <c r="F31" i="6"/>
  <c r="R42" i="6"/>
  <c r="R44" i="6" s="1"/>
  <c r="R39" i="6"/>
  <c r="K34" i="6"/>
  <c r="K35" i="6" s="1"/>
  <c r="H33" i="6"/>
  <c r="I40" i="4" l="1"/>
  <c r="I39" i="4"/>
  <c r="I38" i="4"/>
  <c r="I37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O14" i="3"/>
  <c r="L14" i="3"/>
  <c r="I14" i="3"/>
  <c r="F14" i="3"/>
  <c r="O13" i="3"/>
  <c r="L13" i="3"/>
  <c r="I13" i="3"/>
  <c r="F13" i="3"/>
  <c r="O12" i="3"/>
  <c r="L12" i="3"/>
  <c r="I12" i="3"/>
  <c r="F12" i="3"/>
  <c r="O11" i="3"/>
  <c r="L11" i="3"/>
  <c r="I11" i="3"/>
  <c r="F11" i="3"/>
  <c r="H25" i="2"/>
  <c r="G25" i="2"/>
  <c r="D25" i="2"/>
  <c r="C25" i="2"/>
  <c r="I24" i="2"/>
  <c r="I23" i="2"/>
  <c r="I22" i="2"/>
  <c r="H21" i="2"/>
  <c r="G21" i="2"/>
  <c r="G26" i="2" s="1"/>
  <c r="D21" i="2"/>
  <c r="C21" i="2"/>
  <c r="C26" i="2" s="1"/>
  <c r="I20" i="2"/>
  <c r="I19" i="2"/>
  <c r="I18" i="2"/>
  <c r="H17" i="2"/>
  <c r="G17" i="2"/>
  <c r="D17" i="2"/>
  <c r="C17" i="2"/>
  <c r="I16" i="2"/>
  <c r="I15" i="2"/>
  <c r="I14" i="2"/>
  <c r="I13" i="2"/>
  <c r="I12" i="2"/>
  <c r="I11" i="2"/>
  <c r="I10" i="2"/>
  <c r="H18" i="1"/>
  <c r="H20" i="1" s="1"/>
  <c r="G18" i="1"/>
  <c r="G20" i="1" s="1"/>
  <c r="F18" i="1"/>
  <c r="F20" i="1" s="1"/>
  <c r="E18" i="1"/>
  <c r="E20" i="1" s="1"/>
  <c r="D18" i="1"/>
  <c r="D20" i="1" s="1"/>
  <c r="C18" i="1"/>
  <c r="C20" i="1" s="1"/>
  <c r="I16" i="1"/>
  <c r="I15" i="1"/>
  <c r="I14" i="1"/>
  <c r="I13" i="1"/>
  <c r="I12" i="1"/>
  <c r="R14" i="3" l="1"/>
  <c r="G28" i="2"/>
  <c r="C28" i="2"/>
  <c r="I17" i="2"/>
  <c r="I21" i="2"/>
  <c r="D26" i="2"/>
  <c r="D28" i="2" s="1"/>
  <c r="H26" i="2"/>
  <c r="H28" i="2" s="1"/>
  <c r="I18" i="1"/>
  <c r="I25" i="2"/>
  <c r="P13" i="3"/>
  <c r="P11" i="3"/>
  <c r="P12" i="3"/>
  <c r="R11" i="3"/>
  <c r="R13" i="3"/>
  <c r="Q13" i="3"/>
  <c r="Q14" i="3"/>
  <c r="Q11" i="3"/>
  <c r="R12" i="3"/>
  <c r="P14" i="3"/>
  <c r="Q12" i="3"/>
  <c r="I26" i="2" l="1"/>
  <c r="I28" i="2" s="1"/>
</calcChain>
</file>

<file path=xl/sharedStrings.xml><?xml version="1.0" encoding="utf-8"?>
<sst xmlns="http://schemas.openxmlformats.org/spreadsheetml/2006/main" count="490" uniqueCount="242">
  <si>
    <t>ANEKSI nr.1 "Raporti i Shpenzimeve sipas Programeve"</t>
  </si>
  <si>
    <t>ne 000/leke</t>
  </si>
  <si>
    <t>Emri i Grupit</t>
  </si>
  <si>
    <t>MINISTRIA E DREJTESISE</t>
  </si>
  <si>
    <t>Kodi i Grupit</t>
  </si>
  <si>
    <t>Programet</t>
  </si>
  <si>
    <t>Shpenzimet e Ministrisë/Institucionit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</si>
  <si>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</si>
  <si>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</si>
  <si>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</si>
  <si>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</si>
  <si>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</si>
  <si>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</si>
  <si>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</si>
  <si>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</si>
  <si>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</si>
  <si>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</si>
  <si>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</si>
  <si>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Titulli</t>
  </si>
  <si>
    <t>Emertimi</t>
  </si>
  <si>
    <t>Plan i Rishikuar Viti_______</t>
  </si>
  <si>
    <t xml:space="preserve"> Plani i Periudhes/progresiv</t>
  </si>
  <si>
    <t>i
Periudhes/progresiv</t>
  </si>
  <si>
    <t>01120</t>
  </si>
  <si>
    <t>Qendra e Botimeve Zyrtare</t>
  </si>
  <si>
    <t>Totali i Shpenzimeve te Ministrise</t>
  </si>
  <si>
    <t xml:space="preserve">Shpenzime nga te Ardhurat Jashte limitit </t>
  </si>
  <si>
    <t xml:space="preserve">Totali </t>
  </si>
  <si>
    <t>Sekretari i Përgjithshëm</t>
  </si>
  <si>
    <t>Emri</t>
  </si>
  <si>
    <t>Firma</t>
  </si>
  <si>
    <t>Data</t>
  </si>
  <si>
    <t>ANEKSI nr.2 "Raporti i Shpenzimeve  të Programit sipas Shpenzimeve"</t>
  </si>
  <si>
    <t>14</t>
  </si>
  <si>
    <t>Programi</t>
  </si>
  <si>
    <t>QENDRA E BOTIMEVE ZYRTARE</t>
  </si>
  <si>
    <t>Kodi i Programit</t>
  </si>
  <si>
    <t>1014045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</si>
  <si>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</si>
  <si>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</si>
  <si>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</si>
  <si>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</si>
  <si>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</si>
  <si>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</si>
  <si>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</si>
  <si>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</si>
  <si>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</si>
  <si>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</si>
  <si>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</si>
  <si>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</si>
  <si>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</si>
  <si>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</si>
  <si>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</si>
  <si>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</si>
  <si>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</si>
  <si>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</si>
  <si>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</si>
  <si>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</si>
  <si>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Drejtuesi i Ekipit Menaxhues të Programit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</si>
  <si>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</si>
  <si>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</si>
  <si>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</si>
  <si>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</si>
  <si>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</si>
  <si>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</si>
  <si>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</si>
  <si>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</si>
  <si>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</si>
  <si>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</si>
  <si>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</si>
  <si>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</si>
  <si>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</si>
  <si>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</si>
  <si>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</si>
  <si>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</si>
  <si>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</si>
  <si>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</si>
  <si>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</si>
  <si>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</si>
  <si>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</si>
  <si>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</si>
  <si>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</si>
  <si>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</si>
  <si>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Publikimi I Fletoreve Zyrtare</t>
  </si>
  <si>
    <t>Nr fletoresh</t>
  </si>
  <si>
    <t>......</t>
  </si>
  <si>
    <t>B</t>
  </si>
  <si>
    <t>Botime (kode &amp; permb legjislacioni)</t>
  </si>
  <si>
    <t>Nr botimesh</t>
  </si>
  <si>
    <t>C</t>
  </si>
  <si>
    <t>Botimi I Buletinit te Njoftimeve Zyrtare</t>
  </si>
  <si>
    <t>Nr buletini</t>
  </si>
  <si>
    <t>D</t>
  </si>
  <si>
    <t>Publikimi ne Internet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</si>
  <si>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</si>
  <si>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</si>
  <si>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</si>
  <si>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</si>
  <si>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</si>
  <si>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Treguesi i Performances .....</t>
  </si>
  <si>
    <t>ANEKSI nr.4 "Raporti i realizimit te objektivave te politikes se programit"</t>
  </si>
  <si>
    <t>Emertimi i programit:</t>
  </si>
  <si>
    <t>Qellimi 1</t>
  </si>
  <si>
    <t>........</t>
  </si>
  <si>
    <t>.....</t>
  </si>
  <si>
    <t>**Treguesit e performancës/Produktet:</t>
  </si>
  <si>
    <t>Kodi i
Treguesit te Performances/Produktit</t>
  </si>
  <si>
    <t>Niveli faktik i  vitit paraardhes</t>
  </si>
  <si>
    <t>Niveli i planifikuar ne vitin korent</t>
  </si>
  <si>
    <t>Niveli faktik ne fund te vitit korent</t>
  </si>
  <si>
    <t>% e Realizimit te Treguesit te Performances/Produktit</t>
  </si>
  <si>
    <t>Objektivi 1.1</t>
  </si>
  <si>
    <t>..............</t>
  </si>
  <si>
    <t xml:space="preserve">Objektivi 1.2 </t>
  </si>
  <si>
    <t>………</t>
  </si>
  <si>
    <t>Objektivi 1.3</t>
  </si>
  <si>
    <t xml:space="preserve"> ………..</t>
  </si>
  <si>
    <t xml:space="preserve">         Njekohesisht, per ata tregues performance te cilet nuk vleresohen mbi baze vjetore por disa vjecare (psh vleresime ndekombetare te tilla si: OBI, PISA score, PEFA score, etc), si nivel i vitit paraardhes vendoset niveli me i fundit i regjistruar per ta.</t>
  </si>
  <si>
    <t>Shembull</t>
  </si>
  <si>
    <t>Programi: Arsimi Baze</t>
  </si>
  <si>
    <r>
      <rPr>
        <b/>
        <i/>
        <sz val="10"/>
        <color indexed="60"/>
        <rFont val="Arial"/>
        <family val="2"/>
        <charset val="238"/>
      </rPr>
      <t>Qellimi 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</si>
  <si>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Objektivat e politikës*:</t>
  </si>
  <si>
    <t>Treguesit e performancës/Produktet:</t>
  </si>
  <si>
    <r>
      <t xml:space="preserve">Niveli faktik i  vitit </t>
    </r>
    <r>
      <rPr>
        <b/>
        <u/>
        <sz val="10"/>
        <color indexed="60"/>
        <rFont val="Calibri"/>
        <family val="2"/>
        <charset val="238"/>
      </rPr>
      <t>2015</t>
    </r>
  </si>
  <si>
    <r>
      <t xml:space="preserve">Niveli i planifikuar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</si>
  <si>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i rishikuar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</si>
  <si>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faktik ne fund te vitit </t>
    </r>
    <r>
      <rPr>
        <b/>
        <u/>
        <sz val="10"/>
        <color indexed="60"/>
        <rFont val="Calibri"/>
        <family val="2"/>
        <charset val="238"/>
      </rPr>
      <t>2016</t>
    </r>
  </si>
  <si>
    <t>% e realizimit te Treguesit te Performances/Produktit</t>
  </si>
  <si>
    <t>Permiresimi i cilesise se mesimdhenies ne sistemin arsimor parauniversitar</t>
  </si>
  <si>
    <r>
      <rPr>
        <b/>
        <i/>
        <sz val="10"/>
        <color indexed="60"/>
        <rFont val="Arial"/>
        <family val="2"/>
        <charset val="238"/>
      </rPr>
      <t>Objektivi 1.1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</si>
  <si>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Raporti nxenes per klase</t>
  </si>
  <si>
    <r>
      <rPr>
        <b/>
        <i/>
        <sz val="10"/>
        <color indexed="60"/>
        <rFont val="Arial"/>
        <family val="2"/>
        <charset val="238"/>
      </rPr>
      <t>Treguesi i Performances "C"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</si>
  <si>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Mesues te trainuar</t>
  </si>
  <si>
    <r>
      <rPr>
        <b/>
        <i/>
        <sz val="10"/>
        <color indexed="60"/>
        <rFont val="Arial"/>
        <family val="2"/>
        <charset val="238"/>
      </rPr>
      <t>Produkti "D"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</si>
  <si>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E</t>
  </si>
  <si>
    <t>Siperfaqe ambientesh te rikonstruktuara (ne m2)</t>
  </si>
  <si>
    <t>F</t>
  </si>
  <si>
    <t>Kurrikula te permiresuara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</si>
  <si>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</si>
  <si>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</si>
  <si>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</si>
  <si>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</si>
  <si>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</si>
  <si>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</si>
  <si>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</si>
  <si>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</si>
  <si>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Plani i buxhetit viti 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</si>
  <si>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</si>
  <si>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</si>
  <si>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</si>
  <si>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</si>
  <si>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</si>
  <si>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</si>
  <si>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</si>
  <si>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</si>
  <si>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</si>
  <si>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</si>
  <si>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</si>
  <si>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Periudha e Raportimit:  VITI 2016</t>
  </si>
  <si>
    <t xml:space="preserve">Permiresimi i performances se Qendres te Botimeve Zyrtare me qellim rritjen e transparences dhe aksesit te publikut ne ligj. Përmirësimi i standarteve të Botimeve dhe shpalljes së akteve ligjore në përputhje dhe me vendet e tjera te BE.Sigurimi i aksesit te publikut ne normat juridike te perditesuara me te gjitha ndryshimet qe kane pesuar ne kohe. </t>
  </si>
  <si>
    <t xml:space="preserve"> Botimi i 230 fletoreve zyrtare</t>
  </si>
  <si>
    <t>numer fletore</t>
  </si>
  <si>
    <t>Objektivi 1.2</t>
  </si>
  <si>
    <t>Objektivi 1.4</t>
  </si>
  <si>
    <t>numer botime</t>
  </si>
  <si>
    <t>Botimi  I 48 serive te  Buletinit te Noftimeve Zyrtare</t>
  </si>
  <si>
    <t>numer buletini</t>
  </si>
  <si>
    <t>numer botimesh online</t>
  </si>
  <si>
    <r>
      <rPr>
        <b/>
        <sz val="10"/>
        <color indexed="60"/>
        <rFont val="Calibri"/>
        <family val="2"/>
        <charset val="238"/>
      </rPr>
      <t>*</t>
    </r>
    <r>
      <rPr>
        <b/>
        <sz val="10"/>
        <color indexed="60"/>
        <rFont val="Calibri"/>
        <family val="2"/>
      </rPr>
      <t>Objektivat e politikës*:</t>
    </r>
  </si>
  <si>
    <r>
      <t>Emertimi i Treguesit te Performances</t>
    </r>
    <r>
      <rPr>
        <b/>
        <sz val="10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</si>
  <si>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r>
      <rPr>
        <b/>
        <i/>
        <sz val="10"/>
        <color indexed="60"/>
        <rFont val="Calibri"/>
        <family val="2"/>
        <charset val="238"/>
      </rPr>
      <t>*Objektivat e listuar jane ne funksion te permbushjes se qellimit te mesiperm te politikes. Nese specifikohet me shume se 1 Qellim, ai se bashku me objektivat e tij (psh Qellimi 2 me Objektiv 2.1; 2.2; etj) duhet te futen ne nje tabele tjeter te ngjashme, ne vazhdim te kesaj.</t>
    </r>
  </si>
  <si>
    <r>
      <rPr>
        <b/>
        <i/>
        <sz val="10"/>
        <color indexed="60"/>
        <rFont val="Calibri"/>
        <family val="2"/>
        <charset val="238"/>
      </rPr>
      <t xml:space="preserve">** Si tregues për vlerësimin e performancës së objektivave, krahas produkteve, shërbejnë edhe tregues të tjerë të matshëm të lidhur me to. Këto mund të jene standarte të njohura të fushës; tregues statistikorë; indekse kombëtare e ndërkombëtare,etj. </t>
    </r>
  </si>
  <si>
    <r>
      <rPr>
        <b/>
        <i/>
        <sz val="10"/>
        <color indexed="60"/>
        <rFont val="Calibri"/>
        <family val="2"/>
        <charset val="238"/>
      </rPr>
      <t>***Ketu listohen te gjithe treguesit e performances, perfshi dhe produktet. Raportimi per produktet behet periodik dhe vjetor, ndersa raportimi per treguesit e performances mund te behet edhe vetem vjetor, nqs matshmeria e tyre periodike paraqet veshtiresi objektive.</t>
    </r>
  </si>
  <si>
    <t>Buxheti 2016</t>
  </si>
  <si>
    <t>JULIANA HOXHA</t>
  </si>
  <si>
    <t>Emri : ARDITA  BUNA</t>
  </si>
  <si>
    <t>ARDITA BUNA</t>
  </si>
  <si>
    <t>i
vitit paraardhes
Viti 2016</t>
  </si>
  <si>
    <t>Viti  2016</t>
  </si>
  <si>
    <t>Plan Fillestar Viti 2017</t>
  </si>
  <si>
    <t>Plan i Rishikuar Viti__2017__</t>
  </si>
  <si>
    <t>Nr.</t>
  </si>
  <si>
    <t>INSTITUCIONET</t>
  </si>
  <si>
    <t>Plani 2017</t>
  </si>
  <si>
    <t>Plani 2018</t>
  </si>
  <si>
    <t>Plani 2019</t>
  </si>
  <si>
    <t>Plani 2020</t>
  </si>
  <si>
    <t>600+601</t>
  </si>
  <si>
    <t>602+606</t>
  </si>
  <si>
    <t>Shuma</t>
  </si>
  <si>
    <t>600+602</t>
  </si>
  <si>
    <t>602+607</t>
  </si>
  <si>
    <t>Publikimet Zyrtare</t>
  </si>
  <si>
    <t>fletore</t>
  </si>
  <si>
    <t>botime te tjera</t>
  </si>
  <si>
    <t>buletini I njoftimeve</t>
  </si>
  <si>
    <t>internet</t>
  </si>
  <si>
    <t>BOTIMI FLETORE ZYRTARE</t>
  </si>
  <si>
    <t>Fletore zyrtare tek te tretet</t>
  </si>
  <si>
    <t>Lende e pare</t>
  </si>
  <si>
    <t>Botimi I kodeve dhe permb legj</t>
  </si>
  <si>
    <t>Botimi I Buletinit te Njoftimeve</t>
  </si>
  <si>
    <t>Botimi ne internet ne Arkiven elektronike I Fletores Zyrtare, Botimeve te tjera, Buletinit dhe perditesimit te legjislacionit</t>
  </si>
  <si>
    <t>Arkiva Elektronike</t>
  </si>
  <si>
    <t>pajisje Zyre</t>
  </si>
  <si>
    <t>pajisje kompjuterike</t>
  </si>
  <si>
    <t>printer digital</t>
  </si>
  <si>
    <t>3mujor I</t>
  </si>
  <si>
    <t>3mujor II</t>
  </si>
  <si>
    <t>3mujor III</t>
  </si>
  <si>
    <t>3mujor IV</t>
  </si>
  <si>
    <t>total</t>
  </si>
  <si>
    <t>botime</t>
  </si>
  <si>
    <t>Botime</t>
  </si>
  <si>
    <t>Botime ne internet</t>
  </si>
  <si>
    <t>KOEFICENTET</t>
  </si>
  <si>
    <t>Fletore te te tretet</t>
  </si>
  <si>
    <t>lende e pare</t>
  </si>
  <si>
    <t>Kode botime</t>
  </si>
  <si>
    <t>Buletini</t>
  </si>
  <si>
    <t>botime ne internet</t>
  </si>
  <si>
    <t>% fletore</t>
  </si>
  <si>
    <t>arkiva</t>
  </si>
  <si>
    <t>% arkiva</t>
  </si>
  <si>
    <t>buletini</t>
  </si>
  <si>
    <t>BULETINI</t>
  </si>
  <si>
    <t>i vitit paraardhes
Viti 2016</t>
  </si>
  <si>
    <t>Plan                   Viti 2017</t>
  </si>
  <si>
    <t>Botimi i 12 titujve (kode dhe Permbledhese legjislacioni)</t>
  </si>
  <si>
    <t>Botimi online ne internet I  11 titujve (kode dhe Permbledhese legjislacioni), 48 Buletineve te Njoftimeve Zyrtare, 230 fletoreve zyrtare</t>
  </si>
  <si>
    <t>Niveli i rishikuar ne 3 mujori I</t>
  </si>
  <si>
    <t>M140049</t>
  </si>
  <si>
    <t>Ndertimi I arkives elektronike te akteve Ligjore , ndertimi I faqes se re web</t>
  </si>
  <si>
    <t>Ne proces prokurimi</t>
  </si>
  <si>
    <t>4mujor I</t>
  </si>
  <si>
    <t>4mujor II</t>
  </si>
  <si>
    <t>4mujor III</t>
  </si>
  <si>
    <t xml:space="preserve">Buxheti 4 mujori I  </t>
  </si>
  <si>
    <t>Fakti 4 mujori I</t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</si>
  <si>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</t>
    </r>
    <r>
      <rPr>
        <b/>
        <sz val="8"/>
        <color indexed="60"/>
        <rFont val="Arial"/>
        <family val="2"/>
        <charset val="238"/>
      </rPr>
      <t>te rishikuar</t>
    </r>
    <r>
      <rPr>
        <b/>
        <sz val="8"/>
        <rFont val="Arial"/>
        <family val="2"/>
      </rPr>
      <t xml:space="preserve"> te 4 mujori I)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</si>
  <si>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 4 mujori I)</t>
    </r>
  </si>
  <si>
    <t>Plani i buxhetit viti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</si>
</sst>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b/>
      <u/>
      <sz val="1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u/>
      <sz val="10"/>
      <color indexed="60"/>
      <name val="Calibri"/>
      <family val="2"/>
      <charset val="238"/>
    </font>
    <font>
      <sz val="12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b/>
      <sz val="10"/>
      <color indexed="60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</font>
    <font>
      <b/>
      <i/>
      <sz val="9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3" fillId="0" borderId="0"/>
    <xf numFmtId="43" fontId="58" fillId="0" borderId="0" applyFont="0" applyFill="0" applyBorder="0" applyAlignment="0" applyProtection="0"/>
  </cellStyleXfs>
  <cellXfs count="46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4" xfId="0" applyFont="1" applyFill="1" applyBorder="1" applyAlignment="1"/>
    <xf numFmtId="0" fontId="8" fillId="0" borderId="8" xfId="0" applyFont="1" applyFill="1" applyBorder="1" applyAlignment="1">
      <alignment horizontal="center"/>
    </xf>
    <xf numFmtId="0" fontId="8" fillId="0" borderId="1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8" fillId="3" borderId="26" xfId="0" applyNumberFormat="1" applyFont="1" applyFill="1" applyBorder="1" applyAlignment="1">
      <alignment horizontal="center" vertical="top" wrapText="1"/>
    </xf>
    <xf numFmtId="164" fontId="8" fillId="3" borderId="27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 vertical="top" wrapText="1"/>
    </xf>
    <xf numFmtId="0" fontId="6" fillId="0" borderId="27" xfId="0" applyFont="1" applyBorder="1" applyAlignment="1">
      <alignment horizontal="center"/>
    </xf>
    <xf numFmtId="164" fontId="12" fillId="3" borderId="31" xfId="0" applyNumberFormat="1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8" fillId="0" borderId="14" xfId="0" applyFont="1" applyBorder="1" applyAlignment="1">
      <alignment vertical="center" wrapText="1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8" fillId="0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4" xfId="0" applyFont="1" applyFill="1" applyBorder="1" applyAlignment="1"/>
    <xf numFmtId="49" fontId="17" fillId="2" borderId="37" xfId="0" applyNumberFormat="1" applyFont="1" applyFill="1" applyBorder="1" applyAlignment="1">
      <alignment horizontal="center"/>
    </xf>
    <xf numFmtId="0" fontId="6" fillId="0" borderId="38" xfId="0" applyFont="1" applyFill="1" applyBorder="1" applyAlignment="1"/>
    <xf numFmtId="0" fontId="6" fillId="0" borderId="18" xfId="0" applyFont="1" applyFill="1" applyBorder="1" applyAlignment="1"/>
    <xf numFmtId="49" fontId="18" fillId="0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6" fillId="2" borderId="8" xfId="0" applyFont="1" applyFill="1" applyBorder="1"/>
    <xf numFmtId="0" fontId="17" fillId="0" borderId="0" xfId="0" applyFont="1" applyBorder="1" applyAlignment="1">
      <alignment horizontal="center"/>
    </xf>
    <xf numFmtId="0" fontId="22" fillId="0" borderId="0" xfId="0" applyFont="1" applyBorder="1"/>
    <xf numFmtId="0" fontId="14" fillId="0" borderId="0" xfId="0" applyFont="1" applyBorder="1"/>
    <xf numFmtId="0" fontId="1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4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31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3" fontId="33" fillId="2" borderId="55" xfId="0" applyNumberFormat="1" applyFont="1" applyFill="1" applyBorder="1" applyAlignment="1">
      <alignment horizontal="center" vertical="center"/>
    </xf>
    <xf numFmtId="3" fontId="33" fillId="2" borderId="8" xfId="0" applyNumberFormat="1" applyFont="1" applyFill="1" applyBorder="1" applyAlignment="1">
      <alignment horizontal="right" vertical="center"/>
    </xf>
    <xf numFmtId="3" fontId="33" fillId="3" borderId="56" xfId="0" applyNumberFormat="1" applyFont="1" applyFill="1" applyBorder="1" applyAlignment="1">
      <alignment horizontal="right" vertical="center"/>
    </xf>
    <xf numFmtId="3" fontId="33" fillId="2" borderId="55" xfId="0" applyNumberFormat="1" applyFont="1" applyFill="1" applyBorder="1" applyAlignment="1">
      <alignment horizontal="right" vertical="center"/>
    </xf>
    <xf numFmtId="3" fontId="33" fillId="3" borderId="56" xfId="0" applyNumberFormat="1" applyFont="1" applyFill="1" applyBorder="1" applyAlignment="1">
      <alignment horizontal="center" vertical="center"/>
    </xf>
    <xf numFmtId="3" fontId="33" fillId="3" borderId="55" xfId="0" applyNumberFormat="1" applyFont="1" applyFill="1" applyBorder="1" applyAlignment="1">
      <alignment horizontal="center" vertical="center"/>
    </xf>
    <xf numFmtId="3" fontId="33" fillId="3" borderId="37" xfId="0" applyNumberFormat="1" applyFont="1" applyFill="1" applyBorder="1" applyAlignment="1">
      <alignment horizontal="center" vertical="center"/>
    </xf>
    <xf numFmtId="3" fontId="33" fillId="2" borderId="9" xfId="0" applyNumberFormat="1" applyFont="1" applyFill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/>
    </xf>
    <xf numFmtId="3" fontId="33" fillId="2" borderId="61" xfId="0" applyNumberFormat="1" applyFont="1" applyFill="1" applyBorder="1" applyAlignment="1">
      <alignment horizontal="center" vertical="center"/>
    </xf>
    <xf numFmtId="3" fontId="33" fillId="2" borderId="62" xfId="0" applyNumberFormat="1" applyFont="1" applyFill="1" applyBorder="1" applyAlignment="1">
      <alignment horizontal="right" vertical="center"/>
    </xf>
    <xf numFmtId="3" fontId="33" fillId="3" borderId="63" xfId="0" applyNumberFormat="1" applyFont="1" applyFill="1" applyBorder="1" applyAlignment="1">
      <alignment horizontal="right" vertical="center"/>
    </xf>
    <xf numFmtId="3" fontId="33" fillId="2" borderId="61" xfId="0" applyNumberFormat="1" applyFont="1" applyFill="1" applyBorder="1" applyAlignment="1">
      <alignment horizontal="right" vertical="center"/>
    </xf>
    <xf numFmtId="3" fontId="33" fillId="3" borderId="63" xfId="0" applyNumberFormat="1" applyFont="1" applyFill="1" applyBorder="1" applyAlignment="1">
      <alignment horizontal="center" vertical="center"/>
    </xf>
    <xf numFmtId="3" fontId="33" fillId="3" borderId="61" xfId="0" applyNumberFormat="1" applyFont="1" applyFill="1" applyBorder="1" applyAlignment="1">
      <alignment horizontal="center" vertical="center"/>
    </xf>
    <xf numFmtId="3" fontId="33" fillId="3" borderId="64" xfId="0" applyNumberFormat="1" applyFont="1" applyFill="1" applyBorder="1" applyAlignment="1">
      <alignment horizontal="center" vertical="center"/>
    </xf>
    <xf numFmtId="3" fontId="33" fillId="2" borderId="6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/>
    </xf>
    <xf numFmtId="0" fontId="6" fillId="2" borderId="70" xfId="0" applyFont="1" applyFill="1" applyBorder="1" applyAlignment="1">
      <alignment horizontal="center"/>
    </xf>
    <xf numFmtId="0" fontId="6" fillId="2" borderId="62" xfId="0" applyFont="1" applyFill="1" applyBorder="1" applyAlignment="1">
      <alignment horizontal="center"/>
    </xf>
    <xf numFmtId="0" fontId="6" fillId="2" borderId="71" xfId="0" applyFont="1" applyFill="1" applyBorder="1" applyAlignment="1">
      <alignment horizontal="center"/>
    </xf>
    <xf numFmtId="164" fontId="6" fillId="2" borderId="62" xfId="0" applyNumberFormat="1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2" fillId="0" borderId="0" xfId="0" applyFont="1"/>
    <xf numFmtId="0" fontId="34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7" fillId="2" borderId="8" xfId="0" applyFont="1" applyFill="1" applyBorder="1" applyAlignment="1">
      <alignment horizontal="center" vertical="center" wrapText="1"/>
    </xf>
    <xf numFmtId="9" fontId="16" fillId="2" borderId="9" xfId="0" applyNumberFormat="1" applyFont="1" applyFill="1" applyBorder="1" applyAlignment="1">
      <alignment horizontal="center" vertical="center" wrapText="1"/>
    </xf>
    <xf numFmtId="0" fontId="41" fillId="0" borderId="77" xfId="0" applyFont="1" applyBorder="1" applyAlignment="1">
      <alignment horizontal="center" vertical="center" wrapText="1"/>
    </xf>
    <xf numFmtId="9" fontId="16" fillId="2" borderId="79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0" fontId="42" fillId="0" borderId="0" xfId="0" applyFont="1"/>
    <xf numFmtId="0" fontId="44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8" fillId="6" borderId="0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80" xfId="0" applyFont="1" applyFill="1" applyBorder="1" applyAlignment="1">
      <alignment horizontal="center" vertical="center" wrapText="1"/>
    </xf>
    <xf numFmtId="0" fontId="36" fillId="6" borderId="68" xfId="0" applyFont="1" applyFill="1" applyBorder="1" applyAlignment="1">
      <alignment horizontal="center" vertical="center" wrapText="1"/>
    </xf>
    <xf numFmtId="0" fontId="2" fillId="6" borderId="81" xfId="0" applyFont="1" applyFill="1" applyBorder="1" applyAlignment="1">
      <alignment horizontal="center" vertical="center" wrapText="1"/>
    </xf>
    <xf numFmtId="0" fontId="0" fillId="6" borderId="84" xfId="0" applyFill="1" applyBorder="1" applyAlignment="1">
      <alignment horizontal="center" vertical="center" wrapText="1"/>
    </xf>
    <xf numFmtId="0" fontId="16" fillId="0" borderId="85" xfId="0" applyFont="1" applyBorder="1" applyAlignment="1">
      <alignment vertical="center" wrapText="1"/>
    </xf>
    <xf numFmtId="0" fontId="2" fillId="6" borderId="5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9" fontId="45" fillId="6" borderId="57" xfId="0" applyNumberFormat="1" applyFont="1" applyFill="1" applyBorder="1" applyAlignment="1">
      <alignment horizontal="left" vertical="center" wrapText="1"/>
    </xf>
    <xf numFmtId="0" fontId="30" fillId="6" borderId="87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37" fillId="6" borderId="8" xfId="0" applyFont="1" applyFill="1" applyBorder="1" applyAlignment="1">
      <alignment horizontal="center" vertical="center" wrapText="1"/>
    </xf>
    <xf numFmtId="0" fontId="37" fillId="6" borderId="7" xfId="0" applyFont="1" applyFill="1" applyBorder="1" applyAlignment="1">
      <alignment horizontal="center" vertical="center" wrapText="1"/>
    </xf>
    <xf numFmtId="9" fontId="16" fillId="6" borderId="57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40" fillId="6" borderId="8" xfId="0" applyFont="1" applyFill="1" applyBorder="1" applyAlignment="1">
      <alignment horizontal="center" vertical="center" wrapText="1"/>
    </xf>
    <xf numFmtId="9" fontId="0" fillId="6" borderId="8" xfId="0" applyNumberForma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0" fillId="6" borderId="89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vertical="center" wrapText="1"/>
    </xf>
    <xf numFmtId="0" fontId="0" fillId="6" borderId="62" xfId="0" applyFill="1" applyBorder="1" applyAlignment="1">
      <alignment horizontal="center" vertical="center" wrapText="1"/>
    </xf>
    <xf numFmtId="9" fontId="16" fillId="6" borderId="90" xfId="0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0" xfId="2" applyFill="1" applyAlignment="1">
      <alignment vertical="center"/>
    </xf>
    <xf numFmtId="0" fontId="33" fillId="0" borderId="0" xfId="2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0" fontId="33" fillId="0" borderId="0" xfId="2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33" fillId="0" borderId="0" xfId="2" applyFill="1" applyBorder="1" applyAlignment="1">
      <alignment vertical="center" wrapText="1"/>
    </xf>
    <xf numFmtId="0" fontId="8" fillId="0" borderId="93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33" fillId="2" borderId="97" xfId="2" applyFill="1" applyBorder="1" applyAlignment="1">
      <alignment vertical="center" wrapText="1"/>
    </xf>
    <xf numFmtId="0" fontId="33" fillId="2" borderId="39" xfId="2" applyFill="1" applyBorder="1" applyAlignment="1">
      <alignment vertical="center" wrapText="1"/>
    </xf>
    <xf numFmtId="0" fontId="33" fillId="2" borderId="23" xfId="2" applyFill="1" applyBorder="1" applyAlignment="1">
      <alignment vertical="center" wrapText="1"/>
    </xf>
    <xf numFmtId="0" fontId="33" fillId="2" borderId="4" xfId="2" applyFill="1" applyBorder="1" applyAlignment="1">
      <alignment vertical="center" wrapText="1"/>
    </xf>
    <xf numFmtId="0" fontId="33" fillId="2" borderId="8" xfId="2" applyFill="1" applyBorder="1" applyAlignment="1">
      <alignment vertical="center" wrapText="1"/>
    </xf>
    <xf numFmtId="0" fontId="33" fillId="2" borderId="37" xfId="2" applyFill="1" applyBorder="1" applyAlignment="1">
      <alignment vertical="center" wrapText="1"/>
    </xf>
    <xf numFmtId="0" fontId="33" fillId="2" borderId="73" xfId="2" applyFill="1" applyBorder="1" applyAlignment="1">
      <alignment vertical="center" wrapText="1"/>
    </xf>
    <xf numFmtId="0" fontId="33" fillId="2" borderId="43" xfId="2" applyFill="1" applyBorder="1" applyAlignment="1">
      <alignment vertical="center" wrapText="1"/>
    </xf>
    <xf numFmtId="0" fontId="33" fillId="2" borderId="44" xfId="2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4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37" fillId="2" borderId="8" xfId="0" applyFont="1" applyFill="1" applyBorder="1" applyAlignment="1">
      <alignment horizontal="left" vertical="center" wrapText="1"/>
    </xf>
    <xf numFmtId="0" fontId="50" fillId="0" borderId="48" xfId="0" applyFont="1" applyBorder="1" applyAlignment="1">
      <alignment horizontal="center" vertical="center" wrapText="1"/>
    </xf>
    <xf numFmtId="0" fontId="51" fillId="2" borderId="51" xfId="0" applyFont="1" applyFill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37" fillId="2" borderId="8" xfId="0" applyNumberFormat="1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16" fillId="2" borderId="75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37" xfId="0" applyFont="1" applyFill="1" applyBorder="1" applyAlignment="1">
      <alignment horizontal="center" vertical="center" wrapText="1"/>
    </xf>
    <xf numFmtId="9" fontId="33" fillId="3" borderId="7" xfId="1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57" fillId="2" borderId="8" xfId="0" applyFont="1" applyFill="1" applyBorder="1" applyAlignment="1">
      <alignment horizontal="center" vertical="center" wrapText="1"/>
    </xf>
    <xf numFmtId="0" fontId="57" fillId="2" borderId="3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left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52" fillId="0" borderId="37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52" fillId="2" borderId="37" xfId="0" applyFont="1" applyFill="1" applyBorder="1" applyAlignment="1">
      <alignment horizontal="center" vertical="center" wrapText="1"/>
    </xf>
    <xf numFmtId="0" fontId="56" fillId="0" borderId="73" xfId="0" applyFont="1" applyBorder="1" applyAlignment="1">
      <alignment horizontal="center" vertical="center" wrapText="1"/>
    </xf>
    <xf numFmtId="0" fontId="37" fillId="2" borderId="43" xfId="0" applyFont="1" applyFill="1" applyBorder="1" applyAlignment="1">
      <alignment horizontal="left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7" fillId="0" borderId="78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 wrapText="1"/>
    </xf>
    <xf numFmtId="0" fontId="52" fillId="0" borderId="44" xfId="0" applyFont="1" applyFill="1" applyBorder="1" applyAlignment="1">
      <alignment horizontal="center" vertical="center" wrapText="1"/>
    </xf>
    <xf numFmtId="0" fontId="52" fillId="0" borderId="0" xfId="0" applyFont="1"/>
    <xf numFmtId="0" fontId="52" fillId="2" borderId="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9" fillId="2" borderId="39" xfId="2" applyFont="1" applyFill="1" applyBorder="1" applyAlignment="1">
      <alignment vertical="center" wrapText="1"/>
    </xf>
    <xf numFmtId="0" fontId="59" fillId="7" borderId="31" xfId="2" applyFont="1" applyFill="1" applyBorder="1" applyAlignment="1">
      <alignment horizontal="center"/>
    </xf>
    <xf numFmtId="0" fontId="59" fillId="7" borderId="46" xfId="2" applyFont="1" applyFill="1" applyBorder="1" applyAlignment="1">
      <alignment horizontal="center"/>
    </xf>
    <xf numFmtId="0" fontId="59" fillId="7" borderId="25" xfId="2" applyFont="1" applyFill="1" applyBorder="1" applyAlignment="1">
      <alignment horizontal="center"/>
    </xf>
    <xf numFmtId="0" fontId="59" fillId="7" borderId="24" xfId="2" applyFont="1" applyFill="1" applyBorder="1" applyAlignment="1">
      <alignment horizontal="center"/>
    </xf>
    <xf numFmtId="0" fontId="59" fillId="7" borderId="30" xfId="2" applyFont="1" applyFill="1" applyBorder="1" applyAlignment="1">
      <alignment horizontal="center"/>
    </xf>
    <xf numFmtId="0" fontId="26" fillId="8" borderId="4" xfId="2" applyFont="1" applyFill="1" applyBorder="1"/>
    <xf numFmtId="0" fontId="26" fillId="8" borderId="5" xfId="2" applyFont="1" applyFill="1" applyBorder="1"/>
    <xf numFmtId="0" fontId="59" fillId="8" borderId="4" xfId="2" applyFont="1" applyFill="1" applyBorder="1" applyAlignment="1">
      <alignment horizontal="center"/>
    </xf>
    <xf numFmtId="0" fontId="59" fillId="8" borderId="8" xfId="2" applyFont="1" applyFill="1" applyBorder="1" applyAlignment="1">
      <alignment horizontal="center"/>
    </xf>
    <xf numFmtId="0" fontId="59" fillId="8" borderId="37" xfId="2" applyFont="1" applyFill="1" applyBorder="1"/>
    <xf numFmtId="0" fontId="59" fillId="8" borderId="6" xfId="2" applyFont="1" applyFill="1" applyBorder="1"/>
    <xf numFmtId="0" fontId="8" fillId="0" borderId="4" xfId="2" applyFont="1" applyBorder="1" applyAlignment="1">
      <alignment horizontal="center"/>
    </xf>
    <xf numFmtId="0" fontId="6" fillId="0" borderId="5" xfId="2" applyFont="1" applyFill="1" applyBorder="1"/>
    <xf numFmtId="165" fontId="6" fillId="0" borderId="4" xfId="3" applyNumberFormat="1" applyFont="1" applyBorder="1"/>
    <xf numFmtId="165" fontId="6" fillId="0" borderId="8" xfId="3" applyNumberFormat="1" applyFont="1" applyBorder="1"/>
    <xf numFmtId="165" fontId="8" fillId="0" borderId="37" xfId="3" applyNumberFormat="1" applyFont="1" applyBorder="1"/>
    <xf numFmtId="165" fontId="8" fillId="0" borderId="6" xfId="3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98" xfId="0" applyBorder="1"/>
    <xf numFmtId="0" fontId="0" fillId="0" borderId="45" xfId="0" applyBorder="1"/>
    <xf numFmtId="0" fontId="0" fillId="0" borderId="99" xfId="0" applyBorder="1"/>
    <xf numFmtId="0" fontId="0" fillId="0" borderId="24" xfId="0" applyBorder="1"/>
    <xf numFmtId="0" fontId="0" fillId="0" borderId="25" xfId="0" applyBorder="1"/>
    <xf numFmtId="0" fontId="0" fillId="0" borderId="30" xfId="0" applyBorder="1"/>
    <xf numFmtId="0" fontId="0" fillId="0" borderId="4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0" xfId="0" applyFont="1"/>
    <xf numFmtId="3" fontId="2" fillId="0" borderId="4" xfId="0" applyNumberFormat="1" applyFont="1" applyBorder="1"/>
    <xf numFmtId="3" fontId="2" fillId="0" borderId="8" xfId="0" applyNumberFormat="1" applyFont="1" applyBorder="1"/>
    <xf numFmtId="3" fontId="2" fillId="0" borderId="37" xfId="0" applyNumberFormat="1" applyFont="1" applyBorder="1"/>
    <xf numFmtId="3" fontId="2" fillId="0" borderId="6" xfId="0" applyNumberFormat="1" applyFont="1" applyBorder="1"/>
    <xf numFmtId="0" fontId="2" fillId="9" borderId="0" xfId="0" applyFont="1" applyFill="1"/>
    <xf numFmtId="0" fontId="60" fillId="0" borderId="5" xfId="0" applyFont="1" applyBorder="1"/>
    <xf numFmtId="3" fontId="0" fillId="0" borderId="4" xfId="0" applyNumberFormat="1" applyBorder="1"/>
    <xf numFmtId="3" fontId="0" fillId="0" borderId="8" xfId="0" applyNumberFormat="1" applyBorder="1"/>
    <xf numFmtId="3" fontId="61" fillId="0" borderId="37" xfId="0" applyNumberFormat="1" applyFont="1" applyBorder="1"/>
    <xf numFmtId="3" fontId="0" fillId="0" borderId="37" xfId="0" applyNumberFormat="1" applyBorder="1"/>
    <xf numFmtId="3" fontId="0" fillId="0" borderId="6" xfId="0" applyNumberFormat="1" applyBorder="1"/>
    <xf numFmtId="0" fontId="60" fillId="0" borderId="0" xfId="0" applyFont="1" applyBorder="1"/>
    <xf numFmtId="0" fontId="0" fillId="0" borderId="5" xfId="0" applyBorder="1"/>
    <xf numFmtId="3" fontId="0" fillId="0" borderId="21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91" xfId="0" applyNumberFormat="1" applyBorder="1"/>
    <xf numFmtId="3" fontId="0" fillId="0" borderId="73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0" xfId="0" applyNumberFormat="1"/>
    <xf numFmtId="165" fontId="0" fillId="0" borderId="2" xfId="0" applyNumberFormat="1" applyBorder="1"/>
    <xf numFmtId="165" fontId="0" fillId="0" borderId="0" xfId="0" applyNumberFormat="1"/>
    <xf numFmtId="0" fontId="0" fillId="0" borderId="8" xfId="0" applyBorder="1"/>
    <xf numFmtId="0" fontId="0" fillId="0" borderId="37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/>
    <xf numFmtId="0" fontId="2" fillId="0" borderId="0" xfId="0" applyFont="1" applyBorder="1"/>
    <xf numFmtId="0" fontId="0" fillId="0" borderId="40" xfId="0" applyBorder="1"/>
    <xf numFmtId="3" fontId="0" fillId="0" borderId="0" xfId="0" applyNumberFormat="1" applyBorder="1"/>
    <xf numFmtId="0" fontId="2" fillId="9" borderId="101" xfId="0" applyFont="1" applyFill="1" applyBorder="1" applyAlignment="1">
      <alignment horizontal="center"/>
    </xf>
    <xf numFmtId="0" fontId="60" fillId="0" borderId="10" xfId="0" applyFont="1" applyBorder="1"/>
    <xf numFmtId="0" fontId="0" fillId="0" borderId="0" xfId="0" applyFill="1" applyBorder="1"/>
    <xf numFmtId="0" fontId="0" fillId="0" borderId="22" xfId="0" applyBorder="1"/>
    <xf numFmtId="0" fontId="0" fillId="0" borderId="91" xfId="0" applyBorder="1"/>
    <xf numFmtId="0" fontId="0" fillId="0" borderId="13" xfId="0" applyBorder="1"/>
    <xf numFmtId="0" fontId="0" fillId="0" borderId="32" xfId="0" applyBorder="1"/>
    <xf numFmtId="0" fontId="0" fillId="0" borderId="14" xfId="0" applyBorder="1"/>
    <xf numFmtId="0" fontId="0" fillId="0" borderId="33" xfId="0" applyBorder="1"/>
    <xf numFmtId="0" fontId="0" fillId="0" borderId="38" xfId="0" applyBorder="1"/>
    <xf numFmtId="0" fontId="0" fillId="0" borderId="18" xfId="0" applyBorder="1"/>
    <xf numFmtId="3" fontId="61" fillId="0" borderId="6" xfId="0" applyNumberFormat="1" applyFont="1" applyBorder="1"/>
    <xf numFmtId="3" fontId="61" fillId="0" borderId="0" xfId="0" applyNumberFormat="1" applyFont="1" applyBorder="1"/>
    <xf numFmtId="3" fontId="0" fillId="0" borderId="102" xfId="0" applyNumberFormat="1" applyBorder="1"/>
    <xf numFmtId="0" fontId="0" fillId="0" borderId="10" xfId="0" applyFill="1" applyBorder="1"/>
    <xf numFmtId="3" fontId="0" fillId="0" borderId="0" xfId="0" applyNumberFormat="1" applyFill="1"/>
    <xf numFmtId="0" fontId="59" fillId="7" borderId="24" xfId="2" applyFont="1" applyFill="1" applyBorder="1" applyAlignment="1">
      <alignment horizontal="center"/>
    </xf>
    <xf numFmtId="0" fontId="59" fillId="7" borderId="25" xfId="2" applyFont="1" applyFill="1" applyBorder="1" applyAlignment="1">
      <alignment horizontal="center"/>
    </xf>
    <xf numFmtId="0" fontId="59" fillId="7" borderId="30" xfId="2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0" fillId="5" borderId="41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2" fillId="3" borderId="54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32" fillId="3" borderId="55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6" borderId="81" xfId="0" applyFont="1" applyFill="1" applyBorder="1" applyAlignment="1">
      <alignment horizontal="center" vertical="center" wrapText="1"/>
    </xf>
    <xf numFmtId="0" fontId="2" fillId="6" borderId="82" xfId="0" applyFont="1" applyFill="1" applyBorder="1" applyAlignment="1">
      <alignment horizontal="center" vertical="center" wrapText="1"/>
    </xf>
    <xf numFmtId="0" fontId="2" fillId="6" borderId="8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6" fillId="6" borderId="86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 vertical="center" wrapText="1"/>
    </xf>
    <xf numFmtId="0" fontId="36" fillId="6" borderId="88" xfId="0" applyFont="1" applyFill="1" applyBorder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33" xfId="0" applyFont="1" applyFill="1" applyBorder="1" applyAlignment="1">
      <alignment horizontal="center" vertical="center" wrapText="1"/>
    </xf>
    <xf numFmtId="0" fontId="36" fillId="6" borderId="38" xfId="0" applyFont="1" applyFill="1" applyBorder="1" applyAlignment="1">
      <alignment horizontal="center" vertical="center" wrapText="1"/>
    </xf>
    <xf numFmtId="0" fontId="37" fillId="2" borderId="49" xfId="0" applyFont="1" applyFill="1" applyBorder="1" applyAlignment="1">
      <alignment horizontal="center" vertical="center" wrapText="1"/>
    </xf>
    <xf numFmtId="0" fontId="37" fillId="2" borderId="35" xfId="0" applyFont="1" applyFill="1" applyBorder="1" applyAlignment="1">
      <alignment horizontal="center"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3" fillId="0" borderId="40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94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8" fillId="0" borderId="96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0" borderId="92" xfId="2" applyFont="1" applyFill="1" applyBorder="1" applyAlignment="1">
      <alignment horizontal="center" vertical="center" wrapText="1"/>
    </xf>
    <xf numFmtId="0" fontId="8" fillId="0" borderId="77" xfId="2" applyFont="1" applyFill="1" applyBorder="1" applyAlignment="1">
      <alignment horizontal="center" vertical="center" wrapText="1"/>
    </xf>
    <xf numFmtId="0" fontId="8" fillId="0" borderId="95" xfId="2" applyFont="1" applyFill="1" applyBorder="1" applyAlignment="1">
      <alignment horizontal="center" vertical="center" wrapText="1"/>
    </xf>
    <xf numFmtId="0" fontId="8" fillId="0" borderId="93" xfId="2" applyFont="1" applyFill="1" applyBorder="1" applyAlignment="1">
      <alignment horizontal="center" vertical="center" wrapText="1"/>
    </xf>
    <xf numFmtId="0" fontId="59" fillId="7" borderId="24" xfId="2" applyFont="1" applyFill="1" applyBorder="1" applyAlignment="1">
      <alignment horizontal="center"/>
    </xf>
    <xf numFmtId="0" fontId="59" fillId="7" borderId="25" xfId="2" applyFont="1" applyFill="1" applyBorder="1" applyAlignment="1">
      <alignment horizontal="center"/>
    </xf>
    <xf numFmtId="0" fontId="59" fillId="7" borderId="30" xfId="2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center"/>
    </xf>
    <xf numFmtId="3" fontId="19" fillId="3" borderId="8" xfId="0" applyNumberFormat="1" applyFont="1" applyFill="1" applyBorder="1" applyAlignment="1">
      <alignment horizontal="center"/>
    </xf>
    <xf numFmtId="3" fontId="20" fillId="3" borderId="8" xfId="0" applyNumberFormat="1" applyFont="1" applyFill="1" applyBorder="1" applyAlignment="1">
      <alignment horizontal="center"/>
    </xf>
    <xf numFmtId="3" fontId="20" fillId="2" borderId="8" xfId="0" applyNumberFormat="1" applyFont="1" applyFill="1" applyBorder="1" applyAlignment="1">
      <alignment horizontal="center"/>
    </xf>
    <xf numFmtId="3" fontId="10" fillId="4" borderId="8" xfId="0" applyNumberFormat="1" applyFont="1" applyFill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10" fillId="5" borderId="43" xfId="0" applyNumberFormat="1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17" fillId="3" borderId="37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1" fillId="3" borderId="37" xfId="0" applyNumberFormat="1" applyFont="1" applyFill="1" applyBorder="1" applyAlignment="1">
      <alignment horizontal="center"/>
    </xf>
    <xf numFmtId="3" fontId="10" fillId="4" borderId="37" xfId="0" applyNumberFormat="1" applyFont="1" applyFill="1" applyBorder="1" applyAlignment="1">
      <alignment horizontal="center"/>
    </xf>
    <xf numFmtId="3" fontId="11" fillId="0" borderId="37" xfId="0" applyNumberFormat="1" applyFont="1" applyBorder="1" applyAlignment="1">
      <alignment horizontal="center"/>
    </xf>
    <xf numFmtId="3" fontId="10" fillId="5" borderId="44" xfId="0" applyNumberFormat="1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I36" sqref="I36"/>
    </sheetView>
  </sheetViews>
  <sheetFormatPr defaultColWidth="12.5703125" defaultRowHeight="15" x14ac:dyDescent="0.25"/>
  <cols>
    <col min="2" max="2" width="24.7109375" customWidth="1"/>
    <col min="3" max="3" width="13.85546875" customWidth="1"/>
    <col min="4" max="9" width="12.5703125" style="7"/>
  </cols>
  <sheetData>
    <row r="2" spans="1:10" s="2" customFormat="1" ht="15.75" x14ac:dyDescent="0.25">
      <c r="A2" s="1" t="s">
        <v>0</v>
      </c>
      <c r="D2" s="3"/>
      <c r="E2" s="3"/>
      <c r="F2" s="3"/>
      <c r="G2" s="3"/>
      <c r="H2" s="3"/>
      <c r="I2" s="3"/>
    </row>
    <row r="3" spans="1:10" ht="15.75" x14ac:dyDescent="0.25">
      <c r="A3" s="4"/>
      <c r="B3" s="5"/>
      <c r="C3" s="5"/>
      <c r="D3" s="6"/>
      <c r="E3" s="6"/>
      <c r="F3" s="6"/>
      <c r="G3" s="6"/>
      <c r="H3" s="6"/>
      <c r="I3" s="6"/>
      <c r="J3" s="5"/>
    </row>
    <row r="4" spans="1:10" ht="15.75" thickBot="1" x14ac:dyDescent="0.3">
      <c r="A4" s="5"/>
      <c r="B4" s="5"/>
      <c r="C4" s="5"/>
      <c r="D4" s="6"/>
      <c r="E4" s="6"/>
      <c r="F4" s="6"/>
      <c r="H4" s="6"/>
      <c r="I4" s="8" t="s">
        <v>1</v>
      </c>
      <c r="J4" s="5"/>
    </row>
    <row r="5" spans="1:10" x14ac:dyDescent="0.25">
      <c r="A5" s="9"/>
      <c r="B5" s="10"/>
      <c r="C5" s="10"/>
      <c r="D5" s="11"/>
      <c r="E5" s="11"/>
      <c r="F5" s="11"/>
      <c r="G5" s="11"/>
      <c r="H5" s="11"/>
      <c r="I5" s="12"/>
      <c r="J5" s="5"/>
    </row>
    <row r="6" spans="1:10" x14ac:dyDescent="0.25">
      <c r="A6" s="13" t="s">
        <v>2</v>
      </c>
      <c r="B6" s="351" t="s">
        <v>3</v>
      </c>
      <c r="C6" s="352"/>
      <c r="D6" s="352"/>
      <c r="E6" s="352"/>
      <c r="F6" s="353"/>
      <c r="G6" s="14" t="s">
        <v>4</v>
      </c>
      <c r="H6" s="354"/>
      <c r="I6" s="355"/>
      <c r="J6" s="5"/>
    </row>
    <row r="7" spans="1:10" x14ac:dyDescent="0.25">
      <c r="A7" s="15"/>
      <c r="B7" s="16"/>
      <c r="C7" s="16"/>
      <c r="D7" s="17"/>
      <c r="E7" s="17"/>
      <c r="F7" s="17"/>
      <c r="G7" s="17"/>
      <c r="H7" s="18"/>
      <c r="I7" s="19"/>
      <c r="J7" s="5"/>
    </row>
    <row r="8" spans="1:10" x14ac:dyDescent="0.25">
      <c r="A8" s="356" t="s">
        <v>5</v>
      </c>
      <c r="B8" s="357"/>
      <c r="C8" s="362" t="s">
        <v>6</v>
      </c>
      <c r="D8" s="363"/>
      <c r="E8" s="363"/>
      <c r="F8" s="363"/>
      <c r="G8" s="363"/>
      <c r="H8" s="363"/>
      <c r="I8" s="364"/>
      <c r="J8" s="5"/>
    </row>
    <row r="9" spans="1:10" x14ac:dyDescent="0.25">
      <c r="A9" s="358"/>
      <c r="B9" s="359"/>
      <c r="C9" s="20" t="s">
        <v>7</v>
      </c>
      <c r="D9" s="20" t="s">
        <v>8</v>
      </c>
      <c r="E9" s="20" t="s">
        <v>9</v>
      </c>
      <c r="F9" s="20" t="s">
        <v>10</v>
      </c>
      <c r="G9" s="20" t="s">
        <v>11</v>
      </c>
      <c r="H9" s="20" t="s">
        <v>12</v>
      </c>
      <c r="I9" s="21" t="s">
        <v>13</v>
      </c>
      <c r="J9" s="5"/>
    </row>
    <row r="10" spans="1:10" x14ac:dyDescent="0.25">
      <c r="A10" s="360"/>
      <c r="B10" s="361"/>
      <c r="C10" s="22" t="s">
        <v>14</v>
      </c>
      <c r="D10" s="22" t="s">
        <v>15</v>
      </c>
      <c r="E10" s="22" t="s">
        <v>16</v>
      </c>
      <c r="F10" s="22" t="s">
        <v>16</v>
      </c>
      <c r="G10" s="22" t="s">
        <v>16</v>
      </c>
      <c r="H10" s="22" t="s">
        <v>14</v>
      </c>
      <c r="I10" s="365" t="s">
        <v>17</v>
      </c>
      <c r="J10" s="5"/>
    </row>
    <row r="11" spans="1:10" ht="50.25" customHeight="1" x14ac:dyDescent="0.25">
      <c r="A11" s="23" t="s">
        <v>18</v>
      </c>
      <c r="B11" s="24" t="s">
        <v>19</v>
      </c>
      <c r="C11" s="25" t="s">
        <v>177</v>
      </c>
      <c r="D11" s="25" t="s">
        <v>178</v>
      </c>
      <c r="E11" s="25" t="s">
        <v>179</v>
      </c>
      <c r="F11" s="25" t="s">
        <v>180</v>
      </c>
      <c r="G11" s="25" t="s">
        <v>21</v>
      </c>
      <c r="H11" s="25" t="s">
        <v>22</v>
      </c>
      <c r="I11" s="366"/>
      <c r="J11" s="5"/>
    </row>
    <row r="12" spans="1:10" x14ac:dyDescent="0.25">
      <c r="A12" s="26" t="s">
        <v>23</v>
      </c>
      <c r="B12" s="27" t="s">
        <v>24</v>
      </c>
      <c r="C12" s="466">
        <v>43854</v>
      </c>
      <c r="D12" s="466">
        <v>49400</v>
      </c>
      <c r="E12" s="466">
        <v>83000</v>
      </c>
      <c r="F12" s="466">
        <v>83000</v>
      </c>
      <c r="G12" s="466">
        <v>25730</v>
      </c>
      <c r="H12" s="466">
        <v>11894</v>
      </c>
      <c r="I12" s="467">
        <f>H12-G12</f>
        <v>-13836</v>
      </c>
      <c r="J12" s="5"/>
    </row>
    <row r="13" spans="1:10" x14ac:dyDescent="0.25">
      <c r="A13" s="26"/>
      <c r="B13" s="27"/>
      <c r="C13" s="28"/>
      <c r="D13" s="28"/>
      <c r="E13" s="28"/>
      <c r="F13" s="28"/>
      <c r="G13" s="28"/>
      <c r="H13" s="28"/>
      <c r="I13" s="29">
        <f>H13-G13</f>
        <v>0</v>
      </c>
      <c r="J13" s="5"/>
    </row>
    <row r="14" spans="1:10" x14ac:dyDescent="0.25">
      <c r="A14" s="26"/>
      <c r="B14" s="27"/>
      <c r="C14" s="28"/>
      <c r="D14" s="28"/>
      <c r="E14" s="28"/>
      <c r="F14" s="28"/>
      <c r="G14" s="28"/>
      <c r="H14" s="28"/>
      <c r="I14" s="29">
        <f>H14-G14</f>
        <v>0</v>
      </c>
      <c r="J14" s="5"/>
    </row>
    <row r="15" spans="1:10" x14ac:dyDescent="0.25">
      <c r="A15" s="26"/>
      <c r="B15" s="27"/>
      <c r="C15" s="28"/>
      <c r="D15" s="28"/>
      <c r="E15" s="28"/>
      <c r="F15" s="28"/>
      <c r="G15" s="28"/>
      <c r="H15" s="28"/>
      <c r="I15" s="29">
        <f>H15-G15</f>
        <v>0</v>
      </c>
      <c r="J15" s="5"/>
    </row>
    <row r="16" spans="1:10" x14ac:dyDescent="0.25">
      <c r="A16" s="26"/>
      <c r="B16" s="27"/>
      <c r="C16" s="28"/>
      <c r="D16" s="28"/>
      <c r="E16" s="28"/>
      <c r="F16" s="28"/>
      <c r="G16" s="28"/>
      <c r="H16" s="28"/>
      <c r="I16" s="29">
        <f>H16-G16</f>
        <v>0</v>
      </c>
      <c r="J16" s="5"/>
    </row>
    <row r="17" spans="1:10" ht="15.75" thickBot="1" x14ac:dyDescent="0.3">
      <c r="A17" s="26"/>
      <c r="B17" s="27"/>
      <c r="C17" s="28"/>
      <c r="D17" s="28"/>
      <c r="E17" s="28"/>
      <c r="F17" s="28"/>
      <c r="G17" s="28"/>
      <c r="H17" s="28"/>
      <c r="I17" s="29"/>
      <c r="J17" s="5"/>
    </row>
    <row r="18" spans="1:10" ht="15.75" thickBot="1" x14ac:dyDescent="0.3">
      <c r="A18" s="349" t="s">
        <v>25</v>
      </c>
      <c r="B18" s="350"/>
      <c r="C18" s="30">
        <f>SUM(C12:C17)</f>
        <v>43854</v>
      </c>
      <c r="D18" s="30">
        <f t="shared" ref="D18:G18" si="0">SUM(D12:D17)</f>
        <v>49400</v>
      </c>
      <c r="E18" s="30">
        <f t="shared" si="0"/>
        <v>83000</v>
      </c>
      <c r="F18" s="30">
        <f t="shared" si="0"/>
        <v>83000</v>
      </c>
      <c r="G18" s="30">
        <f t="shared" si="0"/>
        <v>25730</v>
      </c>
      <c r="H18" s="30">
        <f>SUM(H12:H17)</f>
        <v>11894</v>
      </c>
      <c r="I18" s="31">
        <f>SUM(I12:I17)</f>
        <v>-13836</v>
      </c>
      <c r="J18" s="5"/>
    </row>
    <row r="19" spans="1:10" ht="15.75" thickBot="1" x14ac:dyDescent="0.3">
      <c r="A19" s="337" t="s">
        <v>26</v>
      </c>
      <c r="B19" s="338"/>
      <c r="C19" s="32"/>
      <c r="D19" s="32"/>
      <c r="E19" s="32"/>
      <c r="F19" s="32"/>
      <c r="G19" s="32"/>
      <c r="H19" s="33"/>
      <c r="I19" s="34"/>
      <c r="J19" s="5"/>
    </row>
    <row r="20" spans="1:10" s="38" customFormat="1" ht="13.5" thickBot="1" x14ac:dyDescent="0.25">
      <c r="A20" s="339" t="s">
        <v>27</v>
      </c>
      <c r="B20" s="340"/>
      <c r="C20" s="35">
        <f t="shared" ref="C20:H20" si="1">C18+C19</f>
        <v>43854</v>
      </c>
      <c r="D20" s="35">
        <f t="shared" si="1"/>
        <v>49400</v>
      </c>
      <c r="E20" s="35">
        <f t="shared" si="1"/>
        <v>83000</v>
      </c>
      <c r="F20" s="35">
        <f t="shared" si="1"/>
        <v>83000</v>
      </c>
      <c r="G20" s="35">
        <f t="shared" si="1"/>
        <v>25730</v>
      </c>
      <c r="H20" s="35">
        <f t="shared" si="1"/>
        <v>11894</v>
      </c>
      <c r="I20" s="36"/>
      <c r="J20" s="37"/>
    </row>
    <row r="21" spans="1:10" x14ac:dyDescent="0.25">
      <c r="A21" s="5"/>
      <c r="B21" s="5"/>
      <c r="C21" s="5"/>
      <c r="D21" s="6"/>
      <c r="E21" s="6"/>
      <c r="F21" s="6"/>
      <c r="G21" s="6"/>
      <c r="H21" s="6"/>
      <c r="I21" s="6"/>
      <c r="J21" s="5"/>
    </row>
    <row r="22" spans="1:10" x14ac:dyDescent="0.25">
      <c r="A22" s="5"/>
      <c r="B22" s="5"/>
      <c r="C22" s="5"/>
      <c r="D22" s="6"/>
      <c r="E22" s="6"/>
      <c r="F22" s="6"/>
      <c r="G22" s="6"/>
      <c r="H22" s="6"/>
      <c r="I22" s="6"/>
      <c r="J22" s="5"/>
    </row>
    <row r="23" spans="1:10" x14ac:dyDescent="0.25">
      <c r="A23" s="5"/>
      <c r="B23" s="5"/>
      <c r="C23" s="5"/>
      <c r="D23" s="6"/>
      <c r="E23" s="6"/>
      <c r="F23" s="6"/>
      <c r="G23" s="6"/>
      <c r="H23" s="6"/>
      <c r="I23" s="6"/>
      <c r="J23" s="5"/>
    </row>
    <row r="24" spans="1:10" x14ac:dyDescent="0.25">
      <c r="A24" s="39"/>
      <c r="B24" s="341" t="s">
        <v>28</v>
      </c>
      <c r="C24" s="342"/>
      <c r="D24" s="40" t="s">
        <v>29</v>
      </c>
      <c r="E24" s="347" t="s">
        <v>174</v>
      </c>
      <c r="F24" s="348"/>
      <c r="G24" s="6"/>
      <c r="H24" s="6"/>
      <c r="I24" s="6"/>
      <c r="J24" s="5"/>
    </row>
    <row r="25" spans="1:10" x14ac:dyDescent="0.25">
      <c r="A25" s="39"/>
      <c r="B25" s="343"/>
      <c r="C25" s="344"/>
      <c r="D25" s="40" t="s">
        <v>30</v>
      </c>
      <c r="E25" s="347"/>
      <c r="F25" s="348"/>
      <c r="G25" s="6"/>
      <c r="H25" s="6"/>
      <c r="I25" s="6"/>
      <c r="J25" s="5"/>
    </row>
    <row r="26" spans="1:10" x14ac:dyDescent="0.25">
      <c r="A26" s="39"/>
      <c r="B26" s="345"/>
      <c r="C26" s="346"/>
      <c r="D26" s="40" t="s">
        <v>31</v>
      </c>
      <c r="E26" s="347"/>
      <c r="F26" s="348"/>
      <c r="G26" s="6"/>
      <c r="H26" s="6"/>
      <c r="I26" s="6"/>
      <c r="J26" s="5"/>
    </row>
    <row r="27" spans="1:10" x14ac:dyDescent="0.25">
      <c r="A27" s="5"/>
      <c r="B27" s="5"/>
      <c r="C27" s="5"/>
      <c r="D27" s="6"/>
      <c r="E27" s="6"/>
      <c r="F27" s="6"/>
      <c r="G27" s="6"/>
      <c r="H27" s="6"/>
      <c r="I27" s="6"/>
      <c r="J27" s="5"/>
    </row>
  </sheetData>
  <mergeCells count="12">
    <mergeCell ref="A18:B18"/>
    <mergeCell ref="B6:F6"/>
    <mergeCell ref="H6:I6"/>
    <mergeCell ref="A8:B10"/>
    <mergeCell ref="C8:I8"/>
    <mergeCell ref="I10:I11"/>
    <mergeCell ref="A19:B19"/>
    <mergeCell ref="A20:B20"/>
    <mergeCell ref="B24:C26"/>
    <mergeCell ref="E24:F24"/>
    <mergeCell ref="E25:F25"/>
    <mergeCell ref="E26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tabSelected="1" workbookViewId="0">
      <selection activeCell="O22" sqref="O22"/>
    </sheetView>
  </sheetViews>
  <sheetFormatPr defaultRowHeight="15" x14ac:dyDescent="0.25"/>
  <cols>
    <col min="1" max="1" width="11.85546875" style="7" customWidth="1"/>
    <col min="2" max="2" width="28" customWidth="1"/>
    <col min="3" max="3" width="14.42578125" customWidth="1"/>
    <col min="4" max="4" width="14.140625" style="7" customWidth="1"/>
    <col min="5" max="5" width="15.5703125" style="7" customWidth="1"/>
    <col min="6" max="6" width="14.85546875" style="7" customWidth="1"/>
    <col min="7" max="7" width="15.140625" style="7" customWidth="1"/>
    <col min="8" max="8" width="13.85546875" style="7" customWidth="1"/>
    <col min="9" max="9" width="13.28515625" style="76" customWidth="1"/>
  </cols>
  <sheetData>
    <row r="2" spans="1:10" s="2" customFormat="1" ht="15.75" x14ac:dyDescent="0.25">
      <c r="A2" s="41" t="s">
        <v>32</v>
      </c>
      <c r="D2" s="3"/>
      <c r="E2" s="3"/>
      <c r="F2" s="3"/>
      <c r="G2" s="3"/>
      <c r="H2" s="3"/>
      <c r="I2" s="42"/>
    </row>
    <row r="3" spans="1:10" ht="15.75" thickBot="1" x14ac:dyDescent="0.3">
      <c r="A3" s="43"/>
      <c r="B3" s="44"/>
      <c r="C3" s="44"/>
      <c r="D3" s="43"/>
      <c r="E3" s="43"/>
      <c r="F3" s="17"/>
      <c r="G3" s="45"/>
      <c r="H3" s="46"/>
      <c r="I3" s="47" t="s">
        <v>1</v>
      </c>
      <c r="J3" s="5"/>
    </row>
    <row r="4" spans="1:10" s="53" customFormat="1" x14ac:dyDescent="0.25">
      <c r="A4" s="48"/>
      <c r="B4" s="10"/>
      <c r="C4" s="10"/>
      <c r="D4" s="49"/>
      <c r="E4" s="49"/>
      <c r="F4" s="11"/>
      <c r="G4" s="11"/>
      <c r="H4" s="50"/>
      <c r="I4" s="51"/>
      <c r="J4" s="52"/>
    </row>
    <row r="5" spans="1:10" x14ac:dyDescent="0.25">
      <c r="A5" s="54" t="s">
        <v>2</v>
      </c>
      <c r="B5" s="55" t="s">
        <v>3</v>
      </c>
      <c r="C5" s="44"/>
      <c r="D5" s="44"/>
      <c r="E5" s="44"/>
      <c r="F5" s="44"/>
      <c r="G5" s="56"/>
      <c r="H5" s="14" t="s">
        <v>4</v>
      </c>
      <c r="I5" s="57" t="s">
        <v>33</v>
      </c>
      <c r="J5" s="5"/>
    </row>
    <row r="6" spans="1:10" x14ac:dyDescent="0.25">
      <c r="A6" s="54" t="s">
        <v>34</v>
      </c>
      <c r="B6" s="55" t="s">
        <v>35</v>
      </c>
      <c r="C6" s="58"/>
      <c r="D6" s="58"/>
      <c r="E6" s="58"/>
      <c r="F6" s="58"/>
      <c r="G6" s="59"/>
      <c r="H6" s="14" t="s">
        <v>36</v>
      </c>
      <c r="I6" s="57" t="s">
        <v>37</v>
      </c>
      <c r="J6" s="5"/>
    </row>
    <row r="7" spans="1:10" s="62" customFormat="1" x14ac:dyDescent="0.25">
      <c r="A7" s="357" t="s">
        <v>38</v>
      </c>
      <c r="B7" s="367" t="s">
        <v>19</v>
      </c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60" t="s">
        <v>13</v>
      </c>
      <c r="J7" s="61"/>
    </row>
    <row r="8" spans="1:10" s="64" customFormat="1" x14ac:dyDescent="0.25">
      <c r="A8" s="359"/>
      <c r="B8" s="368"/>
      <c r="C8" s="22" t="s">
        <v>14</v>
      </c>
      <c r="D8" s="22" t="s">
        <v>15</v>
      </c>
      <c r="E8" s="22" t="s">
        <v>16</v>
      </c>
      <c r="F8" s="22" t="s">
        <v>16</v>
      </c>
      <c r="G8" s="22" t="s">
        <v>237</v>
      </c>
      <c r="H8" s="22" t="s">
        <v>238</v>
      </c>
      <c r="I8" s="370" t="s">
        <v>17</v>
      </c>
      <c r="J8" s="63"/>
    </row>
    <row r="9" spans="1:10" s="64" customFormat="1" ht="33.75" x14ac:dyDescent="0.25">
      <c r="A9" s="361"/>
      <c r="B9" s="369"/>
      <c r="C9" s="25" t="s">
        <v>226</v>
      </c>
      <c r="D9" s="25" t="s">
        <v>227</v>
      </c>
      <c r="E9" s="25" t="s">
        <v>179</v>
      </c>
      <c r="F9" s="25" t="s">
        <v>20</v>
      </c>
      <c r="G9" s="25" t="s">
        <v>21</v>
      </c>
      <c r="H9" s="25" t="s">
        <v>22</v>
      </c>
      <c r="I9" s="371"/>
      <c r="J9" s="63"/>
    </row>
    <row r="10" spans="1:10" x14ac:dyDescent="0.25">
      <c r="A10" s="65">
        <v>600</v>
      </c>
      <c r="B10" s="66" t="s">
        <v>39</v>
      </c>
      <c r="C10" s="451">
        <f>24359866/1000</f>
        <v>24359.866000000002</v>
      </c>
      <c r="D10" s="451">
        <f>27159000/1000</f>
        <v>27159</v>
      </c>
      <c r="E10" s="451">
        <f>27159000/1000</f>
        <v>27159</v>
      </c>
      <c r="F10" s="451">
        <f>27159000/1000</f>
        <v>27159</v>
      </c>
      <c r="G10" s="451">
        <f>9054140/1000</f>
        <v>9054.14</v>
      </c>
      <c r="H10" s="451">
        <f>8597062/1000</f>
        <v>8597.0619999999999</v>
      </c>
      <c r="I10" s="460">
        <f>H10-G10</f>
        <v>-457.07799999999952</v>
      </c>
      <c r="J10" s="5"/>
    </row>
    <row r="11" spans="1:10" x14ac:dyDescent="0.25">
      <c r="A11" s="65">
        <v>601</v>
      </c>
      <c r="B11" s="66" t="s">
        <v>40</v>
      </c>
      <c r="C11" s="451">
        <f>4010929/1000</f>
        <v>4010.9290000000001</v>
      </c>
      <c r="D11" s="451">
        <f>4841000/1000</f>
        <v>4841</v>
      </c>
      <c r="E11" s="451">
        <f>4841000/1000</f>
        <v>4841</v>
      </c>
      <c r="F11" s="451">
        <f>4841000/1000</f>
        <v>4841</v>
      </c>
      <c r="G11" s="451">
        <f>1613860/1000</f>
        <v>1613.86</v>
      </c>
      <c r="H11" s="451">
        <f>1409901/1000</f>
        <v>1409.9010000000001</v>
      </c>
      <c r="I11" s="460">
        <f t="shared" ref="I11:I16" si="0">H11-G11</f>
        <v>-203.95899999999983</v>
      </c>
      <c r="J11" s="5"/>
    </row>
    <row r="12" spans="1:10" x14ac:dyDescent="0.25">
      <c r="A12" s="65">
        <v>602</v>
      </c>
      <c r="B12" s="66" t="s">
        <v>41</v>
      </c>
      <c r="C12" s="451">
        <f>15337665/1000</f>
        <v>15337.665000000001</v>
      </c>
      <c r="D12" s="451">
        <f>23000000/1000</f>
        <v>23000</v>
      </c>
      <c r="E12" s="451">
        <f>23000000/1000</f>
        <v>23000</v>
      </c>
      <c r="F12" s="451">
        <f>23000000/1000</f>
        <v>23000</v>
      </c>
      <c r="G12" s="451">
        <f>7343000/1000</f>
        <v>7343</v>
      </c>
      <c r="H12" s="451">
        <f>1887360/1000</f>
        <v>1887.36</v>
      </c>
      <c r="I12" s="460">
        <f t="shared" si="0"/>
        <v>-5455.64</v>
      </c>
      <c r="J12" s="5"/>
    </row>
    <row r="13" spans="1:10" x14ac:dyDescent="0.25">
      <c r="A13" s="65">
        <v>603</v>
      </c>
      <c r="B13" s="66" t="s">
        <v>42</v>
      </c>
      <c r="C13" s="452"/>
      <c r="D13" s="452"/>
      <c r="E13" s="452"/>
      <c r="F13" s="452"/>
      <c r="G13" s="452"/>
      <c r="H13" s="452"/>
      <c r="I13" s="460">
        <f t="shared" si="0"/>
        <v>0</v>
      </c>
      <c r="J13" s="5"/>
    </row>
    <row r="14" spans="1:10" x14ac:dyDescent="0.25">
      <c r="A14" s="65">
        <v>604</v>
      </c>
      <c r="B14" s="66" t="s">
        <v>43</v>
      </c>
      <c r="C14" s="452"/>
      <c r="D14" s="452"/>
      <c r="E14" s="452"/>
      <c r="F14" s="452"/>
      <c r="G14" s="452"/>
      <c r="H14" s="452"/>
      <c r="I14" s="460">
        <f t="shared" si="0"/>
        <v>0</v>
      </c>
      <c r="J14" s="5"/>
    </row>
    <row r="15" spans="1:10" x14ac:dyDescent="0.25">
      <c r="A15" s="65">
        <v>605</v>
      </c>
      <c r="B15" s="66" t="s">
        <v>44</v>
      </c>
      <c r="C15" s="452"/>
      <c r="D15" s="452"/>
      <c r="E15" s="452"/>
      <c r="F15" s="452"/>
      <c r="G15" s="452"/>
      <c r="H15" s="452"/>
      <c r="I15" s="460">
        <f t="shared" si="0"/>
        <v>0</v>
      </c>
      <c r="J15" s="5"/>
    </row>
    <row r="16" spans="1:10" x14ac:dyDescent="0.25">
      <c r="A16" s="65">
        <v>606</v>
      </c>
      <c r="B16" s="66" t="s">
        <v>45</v>
      </c>
      <c r="C16" s="452"/>
      <c r="D16" s="452"/>
      <c r="E16" s="452"/>
      <c r="F16" s="452"/>
      <c r="G16" s="452"/>
      <c r="H16" s="452"/>
      <c r="I16" s="460">
        <f t="shared" si="0"/>
        <v>0</v>
      </c>
      <c r="J16" s="5"/>
    </row>
    <row r="17" spans="1:10" s="38" customFormat="1" ht="12.75" x14ac:dyDescent="0.2">
      <c r="A17" s="67" t="s">
        <v>46</v>
      </c>
      <c r="B17" s="68" t="s">
        <v>47</v>
      </c>
      <c r="C17" s="453">
        <f>SUM(C10:C16)</f>
        <v>43708.460000000006</v>
      </c>
      <c r="D17" s="453">
        <f t="shared" ref="D17:I17" si="1">SUM(D10:D16)</f>
        <v>55000</v>
      </c>
      <c r="E17" s="453">
        <f t="shared" ref="E17:F17" si="2">SUM(E10:E16)</f>
        <v>55000</v>
      </c>
      <c r="F17" s="453">
        <f t="shared" si="2"/>
        <v>55000</v>
      </c>
      <c r="G17" s="453">
        <f t="shared" si="1"/>
        <v>18011</v>
      </c>
      <c r="H17" s="453">
        <f t="shared" si="1"/>
        <v>11894.323</v>
      </c>
      <c r="I17" s="461">
        <f t="shared" si="1"/>
        <v>-6116.6769999999997</v>
      </c>
      <c r="J17" s="37"/>
    </row>
    <row r="18" spans="1:10" x14ac:dyDescent="0.25">
      <c r="A18" s="65">
        <v>230</v>
      </c>
      <c r="B18" s="66" t="s">
        <v>48</v>
      </c>
      <c r="C18" s="452"/>
      <c r="D18" s="452"/>
      <c r="E18" s="452"/>
      <c r="F18" s="452"/>
      <c r="G18" s="452"/>
      <c r="H18" s="452"/>
      <c r="I18" s="460">
        <f>H18-G18</f>
        <v>0</v>
      </c>
      <c r="J18" s="5"/>
    </row>
    <row r="19" spans="1:10" x14ac:dyDescent="0.25">
      <c r="A19" s="65">
        <v>231</v>
      </c>
      <c r="B19" s="66" t="s">
        <v>49</v>
      </c>
      <c r="C19" s="452">
        <f>145800/1000</f>
        <v>145.80000000000001</v>
      </c>
      <c r="D19" s="452">
        <f>28000000/1000</f>
        <v>28000</v>
      </c>
      <c r="E19" s="452">
        <f>28000000/1000</f>
        <v>28000</v>
      </c>
      <c r="F19" s="452">
        <f>28000000/1000</f>
        <v>28000</v>
      </c>
      <c r="G19" s="452">
        <f>7719000/1000</f>
        <v>7719</v>
      </c>
      <c r="H19" s="452">
        <v>0</v>
      </c>
      <c r="I19" s="460">
        <f>H19-G19</f>
        <v>-7719</v>
      </c>
      <c r="J19" s="5"/>
    </row>
    <row r="20" spans="1:10" x14ac:dyDescent="0.25">
      <c r="A20" s="65">
        <v>232</v>
      </c>
      <c r="B20" s="66" t="s">
        <v>50</v>
      </c>
      <c r="C20" s="452"/>
      <c r="D20" s="452"/>
      <c r="E20" s="452"/>
      <c r="F20" s="452"/>
      <c r="G20" s="452"/>
      <c r="H20" s="452"/>
      <c r="I20" s="460">
        <f>H20-G20</f>
        <v>0</v>
      </c>
      <c r="J20" s="5"/>
    </row>
    <row r="21" spans="1:10" ht="22.5" x14ac:dyDescent="0.25">
      <c r="A21" s="69" t="s">
        <v>51</v>
      </c>
      <c r="B21" s="70" t="s">
        <v>52</v>
      </c>
      <c r="C21" s="454">
        <f>SUM(C18:C20)</f>
        <v>145.80000000000001</v>
      </c>
      <c r="D21" s="454">
        <f t="shared" ref="D21:I21" si="3">SUM(D18:D20)</f>
        <v>28000</v>
      </c>
      <c r="E21" s="454">
        <f t="shared" ref="E21:F21" si="4">SUM(E18:E20)</f>
        <v>28000</v>
      </c>
      <c r="F21" s="454">
        <f t="shared" si="4"/>
        <v>28000</v>
      </c>
      <c r="G21" s="454">
        <f t="shared" si="3"/>
        <v>7719</v>
      </c>
      <c r="H21" s="454">
        <f t="shared" si="3"/>
        <v>0</v>
      </c>
      <c r="I21" s="462">
        <f t="shared" si="3"/>
        <v>-7719</v>
      </c>
      <c r="J21" s="5"/>
    </row>
    <row r="22" spans="1:10" x14ac:dyDescent="0.25">
      <c r="A22" s="65">
        <v>230</v>
      </c>
      <c r="B22" s="66" t="s">
        <v>48</v>
      </c>
      <c r="C22" s="455"/>
      <c r="D22" s="455"/>
      <c r="E22" s="455"/>
      <c r="F22" s="455"/>
      <c r="G22" s="455"/>
      <c r="H22" s="455"/>
      <c r="I22" s="460">
        <f>H22-G22</f>
        <v>0</v>
      </c>
      <c r="J22" s="5"/>
    </row>
    <row r="23" spans="1:10" x14ac:dyDescent="0.25">
      <c r="A23" s="65">
        <v>231</v>
      </c>
      <c r="B23" s="66" t="s">
        <v>49</v>
      </c>
      <c r="C23" s="455"/>
      <c r="D23" s="455"/>
      <c r="E23" s="455"/>
      <c r="F23" s="455"/>
      <c r="G23" s="455"/>
      <c r="H23" s="455"/>
      <c r="I23" s="460">
        <f>H23-G23</f>
        <v>0</v>
      </c>
      <c r="J23" s="5"/>
    </row>
    <row r="24" spans="1:10" x14ac:dyDescent="0.25">
      <c r="A24" s="65">
        <v>232</v>
      </c>
      <c r="B24" s="66" t="s">
        <v>50</v>
      </c>
      <c r="C24" s="455"/>
      <c r="D24" s="455"/>
      <c r="E24" s="455"/>
      <c r="F24" s="455"/>
      <c r="G24" s="455"/>
      <c r="H24" s="455"/>
      <c r="I24" s="460">
        <f>H24-G24</f>
        <v>0</v>
      </c>
      <c r="J24" s="5"/>
    </row>
    <row r="25" spans="1:10" ht="22.5" x14ac:dyDescent="0.25">
      <c r="A25" s="69" t="s">
        <v>51</v>
      </c>
      <c r="B25" s="70" t="s">
        <v>53</v>
      </c>
      <c r="C25" s="454">
        <f>SUM(C22:C24)</f>
        <v>0</v>
      </c>
      <c r="D25" s="454">
        <f t="shared" ref="D25:I25" si="5">SUM(D22:D24)</f>
        <v>0</v>
      </c>
      <c r="E25" s="454">
        <f t="shared" ref="E25:F25" si="6">SUM(E22:E24)</f>
        <v>0</v>
      </c>
      <c r="F25" s="454">
        <f t="shared" si="6"/>
        <v>0</v>
      </c>
      <c r="G25" s="454">
        <f t="shared" si="5"/>
        <v>0</v>
      </c>
      <c r="H25" s="454">
        <f t="shared" si="5"/>
        <v>0</v>
      </c>
      <c r="I25" s="462">
        <f t="shared" si="5"/>
        <v>0</v>
      </c>
      <c r="J25" s="5"/>
    </row>
    <row r="26" spans="1:10" s="38" customFormat="1" ht="12.75" x14ac:dyDescent="0.2">
      <c r="A26" s="67" t="s">
        <v>54</v>
      </c>
      <c r="B26" s="71" t="s">
        <v>55</v>
      </c>
      <c r="C26" s="456">
        <f t="shared" ref="C26:I26" si="7">C21+C25</f>
        <v>145.80000000000001</v>
      </c>
      <c r="D26" s="456">
        <f t="shared" si="7"/>
        <v>28000</v>
      </c>
      <c r="E26" s="456">
        <f t="shared" ref="E26:F26" si="8">E21+E25</f>
        <v>28000</v>
      </c>
      <c r="F26" s="456">
        <f t="shared" si="8"/>
        <v>28000</v>
      </c>
      <c r="G26" s="456">
        <f t="shared" si="7"/>
        <v>7719</v>
      </c>
      <c r="H26" s="456">
        <f t="shared" si="7"/>
        <v>0</v>
      </c>
      <c r="I26" s="463">
        <f t="shared" si="7"/>
        <v>-7719</v>
      </c>
      <c r="J26" s="37"/>
    </row>
    <row r="27" spans="1:10" x14ac:dyDescent="0.25">
      <c r="A27" s="372" t="s">
        <v>56</v>
      </c>
      <c r="B27" s="373"/>
      <c r="C27" s="457"/>
      <c r="D27" s="457"/>
      <c r="E27" s="457"/>
      <c r="F27" s="457"/>
      <c r="G27" s="457"/>
      <c r="H27" s="459">
        <v>0</v>
      </c>
      <c r="I27" s="464"/>
    </row>
    <row r="28" spans="1:10" s="38" customFormat="1" ht="13.5" thickBot="1" x14ac:dyDescent="0.25">
      <c r="A28" s="374" t="s">
        <v>57</v>
      </c>
      <c r="B28" s="375"/>
      <c r="C28" s="458">
        <f t="shared" ref="C28:I28" si="9">C17+C26+C27</f>
        <v>43854.260000000009</v>
      </c>
      <c r="D28" s="458">
        <f t="shared" si="9"/>
        <v>83000</v>
      </c>
      <c r="E28" s="458">
        <f t="shared" ref="E28:F28" si="10">E17+E26+E27</f>
        <v>83000</v>
      </c>
      <c r="F28" s="458">
        <f t="shared" si="10"/>
        <v>83000</v>
      </c>
      <c r="G28" s="458">
        <f t="shared" si="9"/>
        <v>25730</v>
      </c>
      <c r="H28" s="458">
        <f t="shared" si="9"/>
        <v>11894.323</v>
      </c>
      <c r="I28" s="465">
        <f t="shared" si="9"/>
        <v>-13835.677</v>
      </c>
    </row>
    <row r="29" spans="1:10" x14ac:dyDescent="0.25">
      <c r="A29" s="72"/>
      <c r="B29" s="73"/>
      <c r="C29" s="73"/>
      <c r="D29" s="74"/>
      <c r="E29" s="74"/>
      <c r="F29" s="74"/>
      <c r="G29" s="74"/>
      <c r="H29" s="74"/>
      <c r="I29" s="75"/>
    </row>
    <row r="30" spans="1:10" x14ac:dyDescent="0.25">
      <c r="A30" s="72"/>
      <c r="B30" s="73"/>
      <c r="C30" s="73"/>
      <c r="D30" s="74"/>
      <c r="E30" s="74"/>
      <c r="F30" s="74"/>
      <c r="G30" s="74"/>
      <c r="H30" s="74"/>
      <c r="I30" s="75"/>
    </row>
    <row r="32" spans="1:10" x14ac:dyDescent="0.25">
      <c r="A32" s="376" t="s">
        <v>58</v>
      </c>
      <c r="B32" s="77" t="s">
        <v>175</v>
      </c>
      <c r="C32" s="341" t="s">
        <v>28</v>
      </c>
      <c r="D32" s="342"/>
      <c r="E32" s="40" t="s">
        <v>29</v>
      </c>
      <c r="F32" s="347" t="s">
        <v>174</v>
      </c>
      <c r="G32" s="348"/>
      <c r="H32" s="46"/>
      <c r="I32" s="78"/>
    </row>
    <row r="33" spans="1:9" x14ac:dyDescent="0.25">
      <c r="A33" s="377"/>
      <c r="B33" s="77" t="s">
        <v>30</v>
      </c>
      <c r="C33" s="343"/>
      <c r="D33" s="344"/>
      <c r="E33" s="40" t="s">
        <v>30</v>
      </c>
      <c r="F33" s="347"/>
      <c r="G33" s="348"/>
      <c r="H33" s="46"/>
      <c r="I33" s="78"/>
    </row>
    <row r="34" spans="1:9" x14ac:dyDescent="0.25">
      <c r="A34" s="378"/>
      <c r="B34" s="77" t="s">
        <v>31</v>
      </c>
      <c r="C34" s="345"/>
      <c r="D34" s="346"/>
      <c r="E34" s="40" t="s">
        <v>31</v>
      </c>
      <c r="F34" s="347"/>
      <c r="G34" s="348"/>
      <c r="H34" s="46"/>
      <c r="I34" s="78"/>
    </row>
  </sheetData>
  <mergeCells count="10">
    <mergeCell ref="A32:A34"/>
    <mergeCell ref="C32:D34"/>
    <mergeCell ref="F32:G32"/>
    <mergeCell ref="F33:G33"/>
    <mergeCell ref="F34:G34"/>
    <mergeCell ref="A7:A9"/>
    <mergeCell ref="B7:B9"/>
    <mergeCell ref="I8:I9"/>
    <mergeCell ref="A27:B27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3"/>
  <sheetViews>
    <sheetView workbookViewId="0">
      <selection activeCell="M26" sqref="M26"/>
    </sheetView>
  </sheetViews>
  <sheetFormatPr defaultRowHeight="15" x14ac:dyDescent="0.25"/>
  <cols>
    <col min="2" max="2" width="34.42578125" customWidth="1"/>
    <col min="3" max="3" width="16" customWidth="1"/>
    <col min="4" max="4" width="13.140625" customWidth="1"/>
    <col min="5" max="5" width="14.7109375" customWidth="1"/>
    <col min="6" max="6" width="11.42578125" customWidth="1"/>
    <col min="8" max="8" width="14.28515625" customWidth="1"/>
    <col min="11" max="11" width="11.28515625" customWidth="1"/>
    <col min="12" max="12" width="14.7109375" customWidth="1"/>
    <col min="14" max="14" width="12.5703125" customWidth="1"/>
    <col min="17" max="17" width="9.85546875" bestFit="1" customWidth="1"/>
  </cols>
  <sheetData>
    <row r="2" spans="1:19" s="81" customFormat="1" ht="15.75" x14ac:dyDescent="0.25">
      <c r="A2" s="79" t="s">
        <v>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9" s="81" customFormat="1" ht="15.75" x14ac:dyDescent="0.2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9" x14ac:dyDescent="0.25">
      <c r="A4" s="84" t="s">
        <v>2</v>
      </c>
      <c r="B4" s="55" t="s">
        <v>3</v>
      </c>
      <c r="C4" s="85" t="s">
        <v>4</v>
      </c>
      <c r="D4" s="86">
        <v>14</v>
      </c>
      <c r="E4" s="87"/>
      <c r="F4" s="87"/>
      <c r="G4" s="87"/>
      <c r="H4" s="87"/>
      <c r="I4" s="87"/>
      <c r="J4" s="87"/>
      <c r="K4" s="88"/>
      <c r="L4" s="88"/>
      <c r="M4" s="88"/>
      <c r="N4" s="88"/>
    </row>
    <row r="5" spans="1:19" x14ac:dyDescent="0.25">
      <c r="A5" s="89"/>
      <c r="B5" s="90"/>
      <c r="C5" s="90"/>
      <c r="D5" s="90"/>
      <c r="E5" s="87"/>
      <c r="F5" s="87"/>
      <c r="G5" s="87"/>
      <c r="H5" s="87"/>
      <c r="I5" s="87"/>
      <c r="J5" s="87"/>
      <c r="K5" s="88"/>
      <c r="L5" s="88"/>
      <c r="M5" s="88"/>
      <c r="N5" s="88"/>
    </row>
    <row r="6" spans="1:19" x14ac:dyDescent="0.25">
      <c r="A6" s="84" t="s">
        <v>34</v>
      </c>
      <c r="B6" s="55" t="s">
        <v>35</v>
      </c>
      <c r="C6" s="85" t="s">
        <v>36</v>
      </c>
      <c r="D6" s="86">
        <v>1014045</v>
      </c>
      <c r="E6" s="91"/>
      <c r="F6" s="92"/>
      <c r="G6" s="92"/>
      <c r="H6" s="92"/>
      <c r="I6" s="92"/>
      <c r="J6" s="92"/>
      <c r="K6" s="88"/>
      <c r="L6" s="88"/>
      <c r="M6" s="88"/>
      <c r="N6" s="88"/>
    </row>
    <row r="7" spans="1:19" ht="15.75" thickBot="1" x14ac:dyDescent="0.3">
      <c r="A7" s="381"/>
      <c r="B7" s="382"/>
    </row>
    <row r="8" spans="1:19" s="95" customFormat="1" ht="16.5" thickBot="1" x14ac:dyDescent="0.3">
      <c r="A8" s="93"/>
      <c r="B8" s="94" t="s">
        <v>1</v>
      </c>
      <c r="C8" s="94"/>
      <c r="D8" s="94"/>
      <c r="E8" s="94"/>
      <c r="F8" s="94" t="s">
        <v>60</v>
      </c>
      <c r="G8" s="94"/>
      <c r="H8" s="94"/>
      <c r="I8" s="94" t="s">
        <v>61</v>
      </c>
      <c r="J8" s="94"/>
      <c r="K8" s="94"/>
      <c r="L8" s="94" t="s">
        <v>62</v>
      </c>
      <c r="M8" s="94"/>
      <c r="N8" s="94"/>
      <c r="O8" s="94" t="s">
        <v>63</v>
      </c>
      <c r="P8" s="383" t="s">
        <v>64</v>
      </c>
      <c r="Q8" s="384"/>
      <c r="R8" s="385"/>
      <c r="S8" s="401" t="s">
        <v>65</v>
      </c>
    </row>
    <row r="9" spans="1:19" s="96" customFormat="1" ht="11.25" x14ac:dyDescent="0.25">
      <c r="A9" s="404" t="s">
        <v>66</v>
      </c>
      <c r="B9" s="406" t="s">
        <v>67</v>
      </c>
      <c r="C9" s="408" t="s">
        <v>68</v>
      </c>
      <c r="D9" s="379" t="s">
        <v>69</v>
      </c>
      <c r="E9" s="399" t="s">
        <v>70</v>
      </c>
      <c r="F9" s="410" t="s">
        <v>71</v>
      </c>
      <c r="G9" s="379" t="s">
        <v>72</v>
      </c>
      <c r="H9" s="399" t="s">
        <v>73</v>
      </c>
      <c r="I9" s="410" t="s">
        <v>74</v>
      </c>
      <c r="J9" s="379" t="s">
        <v>239</v>
      </c>
      <c r="K9" s="399" t="s">
        <v>240</v>
      </c>
      <c r="L9" s="410" t="s">
        <v>75</v>
      </c>
      <c r="M9" s="379" t="s">
        <v>76</v>
      </c>
      <c r="N9" s="399" t="s">
        <v>77</v>
      </c>
      <c r="O9" s="410" t="s">
        <v>78</v>
      </c>
      <c r="P9" s="412" t="s">
        <v>79</v>
      </c>
      <c r="Q9" s="414" t="s">
        <v>80</v>
      </c>
      <c r="R9" s="386" t="s">
        <v>81</v>
      </c>
      <c r="S9" s="402"/>
    </row>
    <row r="10" spans="1:19" s="96" customFormat="1" ht="58.5" customHeight="1" x14ac:dyDescent="0.25">
      <c r="A10" s="405"/>
      <c r="B10" s="407"/>
      <c r="C10" s="409"/>
      <c r="D10" s="380"/>
      <c r="E10" s="400"/>
      <c r="F10" s="411"/>
      <c r="G10" s="380"/>
      <c r="H10" s="400"/>
      <c r="I10" s="411"/>
      <c r="J10" s="380"/>
      <c r="K10" s="400"/>
      <c r="L10" s="411"/>
      <c r="M10" s="380"/>
      <c r="N10" s="400"/>
      <c r="O10" s="411"/>
      <c r="P10" s="413"/>
      <c r="Q10" s="415"/>
      <c r="R10" s="387"/>
      <c r="S10" s="403"/>
    </row>
    <row r="11" spans="1:19" s="62" customFormat="1" x14ac:dyDescent="0.25">
      <c r="A11" s="97" t="s">
        <v>82</v>
      </c>
      <c r="B11" s="98" t="s">
        <v>83</v>
      </c>
      <c r="C11" s="98" t="s">
        <v>84</v>
      </c>
      <c r="D11" s="102">
        <v>256</v>
      </c>
      <c r="E11" s="100">
        <v>29689334.020000003</v>
      </c>
      <c r="F11" s="101">
        <f>E11/D11</f>
        <v>115973.96101562501</v>
      </c>
      <c r="G11" s="99">
        <v>230</v>
      </c>
      <c r="H11" s="100">
        <v>28307000</v>
      </c>
      <c r="I11" s="101">
        <f>H11/G11</f>
        <v>123073.91304347826</v>
      </c>
      <c r="J11" s="99">
        <v>91</v>
      </c>
      <c r="K11" s="100">
        <v>11199726</v>
      </c>
      <c r="L11" s="101">
        <f>K11/J11</f>
        <v>123073.91208791209</v>
      </c>
      <c r="M11" s="102">
        <v>110</v>
      </c>
      <c r="N11" s="100">
        <v>7406597</v>
      </c>
      <c r="O11" s="103">
        <f>N11/M11</f>
        <v>67332.7</v>
      </c>
      <c r="P11" s="104">
        <f>O11-F11</f>
        <v>-48641.261015625016</v>
      </c>
      <c r="Q11" s="105">
        <f>O11-I11</f>
        <v>-55741.213043478259</v>
      </c>
      <c r="R11" s="103">
        <f>O11-L11</f>
        <v>-55741.212087912092</v>
      </c>
      <c r="S11" s="106" t="s">
        <v>85</v>
      </c>
    </row>
    <row r="12" spans="1:19" s="62" customFormat="1" x14ac:dyDescent="0.25">
      <c r="A12" s="97" t="s">
        <v>86</v>
      </c>
      <c r="B12" s="98" t="s">
        <v>87</v>
      </c>
      <c r="C12" s="98" t="s">
        <v>88</v>
      </c>
      <c r="D12" s="102">
        <v>11</v>
      </c>
      <c r="E12" s="100">
        <v>11402107.6</v>
      </c>
      <c r="F12" s="101">
        <f>E12/D12</f>
        <v>1036555.2363636363</v>
      </c>
      <c r="G12" s="99">
        <v>12</v>
      </c>
      <c r="H12" s="100">
        <v>9650000</v>
      </c>
      <c r="I12" s="101">
        <f>H12/G12</f>
        <v>804166.66666666663</v>
      </c>
      <c r="J12" s="99">
        <v>1</v>
      </c>
      <c r="K12" s="100">
        <v>804167</v>
      </c>
      <c r="L12" s="101">
        <f>K12/J12</f>
        <v>804167</v>
      </c>
      <c r="M12" s="102">
        <v>1</v>
      </c>
      <c r="N12" s="100">
        <v>802000</v>
      </c>
      <c r="O12" s="103">
        <f>N12/M12</f>
        <v>802000</v>
      </c>
      <c r="P12" s="104">
        <f>O12-F12</f>
        <v>-234555.23636363633</v>
      </c>
      <c r="Q12" s="105">
        <f>O12-I12</f>
        <v>-2166.6666666666279</v>
      </c>
      <c r="R12" s="103">
        <f>O12-L12</f>
        <v>-2167</v>
      </c>
      <c r="S12" s="106" t="s">
        <v>85</v>
      </c>
    </row>
    <row r="13" spans="1:19" s="62" customFormat="1" x14ac:dyDescent="0.25">
      <c r="A13" s="97" t="s">
        <v>89</v>
      </c>
      <c r="B13" s="98" t="s">
        <v>90</v>
      </c>
      <c r="C13" s="98" t="s">
        <v>91</v>
      </c>
      <c r="D13" s="102">
        <v>38</v>
      </c>
      <c r="E13" s="100">
        <v>1578753.3599999999</v>
      </c>
      <c r="F13" s="101">
        <f>E13/D13</f>
        <v>41546.141052631574</v>
      </c>
      <c r="G13" s="99">
        <v>48</v>
      </c>
      <c r="H13" s="100">
        <v>8518000</v>
      </c>
      <c r="I13" s="101">
        <f>H13/G13</f>
        <v>177458.33333333334</v>
      </c>
      <c r="J13" s="99">
        <v>16</v>
      </c>
      <c r="K13" s="100">
        <v>2832333</v>
      </c>
      <c r="L13" s="101">
        <f>K13/J13</f>
        <v>177020.8125</v>
      </c>
      <c r="M13" s="102">
        <v>13</v>
      </c>
      <c r="N13" s="100">
        <v>1842106</v>
      </c>
      <c r="O13" s="103">
        <f>N13/M13</f>
        <v>141700.46153846153</v>
      </c>
      <c r="P13" s="104">
        <f>O13-F13</f>
        <v>100154.32048582996</v>
      </c>
      <c r="Q13" s="105">
        <f>O13-I13</f>
        <v>-35757.871794871811</v>
      </c>
      <c r="R13" s="103">
        <f>O13-L13</f>
        <v>-35320.350961538468</v>
      </c>
      <c r="S13" s="106" t="s">
        <v>85</v>
      </c>
    </row>
    <row r="14" spans="1:19" s="62" customFormat="1" ht="15.75" thickBot="1" x14ac:dyDescent="0.3">
      <c r="A14" s="107" t="s">
        <v>92</v>
      </c>
      <c r="B14" s="108" t="s">
        <v>93</v>
      </c>
      <c r="C14" s="108" t="s">
        <v>88</v>
      </c>
      <c r="D14" s="112">
        <v>305</v>
      </c>
      <c r="E14" s="110">
        <v>1184065.02</v>
      </c>
      <c r="F14" s="111">
        <f>E14/D14</f>
        <v>3882.180393442623</v>
      </c>
      <c r="G14" s="109">
        <v>290</v>
      </c>
      <c r="H14" s="110">
        <v>8525000</v>
      </c>
      <c r="I14" s="111">
        <f>H14/G14</f>
        <v>29396.551724137931</v>
      </c>
      <c r="J14" s="109">
        <v>108</v>
      </c>
      <c r="K14" s="110">
        <v>3174828</v>
      </c>
      <c r="L14" s="111">
        <f>K14/J14</f>
        <v>29396.555555555555</v>
      </c>
      <c r="M14" s="112">
        <v>124</v>
      </c>
      <c r="N14" s="110">
        <v>1843620</v>
      </c>
      <c r="O14" s="113">
        <f>N14/M14</f>
        <v>14867.903225806451</v>
      </c>
      <c r="P14" s="114">
        <f>O14-F14</f>
        <v>10985.722832363828</v>
      </c>
      <c r="Q14" s="115">
        <f>O14-I14</f>
        <v>-14528.64849833148</v>
      </c>
      <c r="R14" s="113">
        <f>O14-L14</f>
        <v>-14528.652329749104</v>
      </c>
      <c r="S14" s="116" t="s">
        <v>85</v>
      </c>
    </row>
    <row r="15" spans="1:19" s="53" customFormat="1" ht="15.75" thickTop="1" x14ac:dyDescent="0.25">
      <c r="B15" s="117"/>
      <c r="N15" s="333">
        <f>SUM(N11:N14)</f>
        <v>11894323</v>
      </c>
    </row>
    <row r="16" spans="1:19" ht="15.75" thickBot="1" x14ac:dyDescent="0.3">
      <c r="A16" s="397" t="s">
        <v>94</v>
      </c>
      <c r="B16" s="398"/>
      <c r="C16" s="398"/>
      <c r="D16" s="398"/>
      <c r="E16" s="398"/>
      <c r="F16" s="398"/>
    </row>
    <row r="17" spans="1:17" ht="34.5" thickTop="1" x14ac:dyDescent="0.25">
      <c r="A17" s="118" t="s">
        <v>66</v>
      </c>
      <c r="B17" s="119" t="s">
        <v>67</v>
      </c>
      <c r="C17" s="120" t="s">
        <v>95</v>
      </c>
      <c r="D17" s="120" t="s">
        <v>96</v>
      </c>
      <c r="E17" s="120" t="s">
        <v>97</v>
      </c>
      <c r="F17" s="121" t="s">
        <v>65</v>
      </c>
      <c r="N17" s="306"/>
    </row>
    <row r="18" spans="1:17" x14ac:dyDescent="0.25">
      <c r="A18" s="122" t="s">
        <v>82</v>
      </c>
      <c r="B18" s="55" t="s">
        <v>98</v>
      </c>
      <c r="C18" s="55"/>
      <c r="D18" s="55"/>
      <c r="E18" s="123">
        <v>0</v>
      </c>
      <c r="F18" s="124"/>
    </row>
    <row r="19" spans="1:17" ht="15.75" thickBot="1" x14ac:dyDescent="0.3">
      <c r="A19" s="125" t="s">
        <v>92</v>
      </c>
      <c r="B19" s="126" t="s">
        <v>99</v>
      </c>
      <c r="C19" s="127"/>
      <c r="D19" s="127"/>
      <c r="E19" s="128">
        <v>0</v>
      </c>
      <c r="F19" s="129"/>
    </row>
    <row r="20" spans="1:17" s="53" customFormat="1" ht="15.75" thickTop="1" x14ac:dyDescent="0.25">
      <c r="A20" s="17"/>
      <c r="B20" s="17"/>
      <c r="C20" s="17"/>
      <c r="D20" s="17"/>
      <c r="E20" s="130"/>
      <c r="F20" s="17"/>
    </row>
    <row r="21" spans="1:17" s="53" customFormat="1" x14ac:dyDescent="0.25">
      <c r="A21" s="17"/>
      <c r="B21" s="17"/>
      <c r="C21" s="17"/>
      <c r="D21" s="17"/>
      <c r="E21" s="130"/>
      <c r="F21" s="17"/>
      <c r="N21" s="333"/>
    </row>
    <row r="22" spans="1:17" s="53" customFormat="1" x14ac:dyDescent="0.25">
      <c r="A22" s="17"/>
      <c r="B22" s="17"/>
      <c r="C22" s="17"/>
      <c r="D22" s="17"/>
      <c r="E22" s="130"/>
      <c r="F22" s="17"/>
    </row>
    <row r="23" spans="1:17" s="53" customFormat="1" x14ac:dyDescent="0.25">
      <c r="A23" s="17"/>
      <c r="B23" s="17"/>
      <c r="C23" s="17"/>
      <c r="D23" s="17"/>
      <c r="E23" s="130"/>
      <c r="F23" s="17"/>
      <c r="Q23" s="333"/>
    </row>
    <row r="24" spans="1:17" x14ac:dyDescent="0.25">
      <c r="A24" s="388" t="s">
        <v>58</v>
      </c>
      <c r="B24" s="389"/>
      <c r="C24" s="131" t="s">
        <v>29</v>
      </c>
      <c r="D24" s="347" t="s">
        <v>176</v>
      </c>
      <c r="E24" s="348"/>
      <c r="F24" s="394" t="s">
        <v>28</v>
      </c>
      <c r="G24" s="131" t="s">
        <v>29</v>
      </c>
      <c r="H24" s="347" t="s">
        <v>174</v>
      </c>
      <c r="I24" s="348"/>
      <c r="Q24" s="306"/>
    </row>
    <row r="25" spans="1:17" x14ac:dyDescent="0.25">
      <c r="A25" s="390"/>
      <c r="B25" s="391"/>
      <c r="C25" s="131" t="s">
        <v>30</v>
      </c>
      <c r="D25" s="347"/>
      <c r="E25" s="348"/>
      <c r="F25" s="395"/>
      <c r="G25" s="131" t="s">
        <v>30</v>
      </c>
      <c r="H25" s="347"/>
      <c r="I25" s="348"/>
    </row>
    <row r="26" spans="1:17" x14ac:dyDescent="0.25">
      <c r="A26" s="392"/>
      <c r="B26" s="393"/>
      <c r="C26" s="131" t="s">
        <v>31</v>
      </c>
      <c r="D26" s="347"/>
      <c r="E26" s="348"/>
      <c r="F26" s="396"/>
      <c r="G26" s="131" t="s">
        <v>31</v>
      </c>
      <c r="H26" s="347"/>
      <c r="I26" s="348"/>
    </row>
    <row r="27" spans="1:17" x14ac:dyDescent="0.25">
      <c r="P27" s="306"/>
    </row>
    <row r="36" spans="12:14" x14ac:dyDescent="0.25">
      <c r="L36" s="306"/>
      <c r="N36" s="306"/>
    </row>
    <row r="37" spans="12:14" x14ac:dyDescent="0.25">
      <c r="L37" s="306"/>
    </row>
    <row r="38" spans="12:14" x14ac:dyDescent="0.25">
      <c r="L38" s="306"/>
    </row>
    <row r="39" spans="12:14" x14ac:dyDescent="0.25">
      <c r="L39" s="306"/>
    </row>
    <row r="40" spans="12:14" x14ac:dyDescent="0.25">
      <c r="L40" s="306"/>
    </row>
    <row r="42" spans="12:14" x14ac:dyDescent="0.25">
      <c r="L42" s="306"/>
    </row>
    <row r="43" spans="12:14" x14ac:dyDescent="0.25">
      <c r="L43" s="306"/>
    </row>
  </sheetData>
  <mergeCells count="30">
    <mergeCell ref="S8:S10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K9:K10"/>
    <mergeCell ref="L9:L10"/>
    <mergeCell ref="M9:M10"/>
    <mergeCell ref="I9:I10"/>
    <mergeCell ref="J9:J10"/>
    <mergeCell ref="A7:B7"/>
    <mergeCell ref="P8:R8"/>
    <mergeCell ref="R9:R10"/>
    <mergeCell ref="A24:B26"/>
    <mergeCell ref="D24:E24"/>
    <mergeCell ref="F24:F26"/>
    <mergeCell ref="H24:I24"/>
    <mergeCell ref="D25:E25"/>
    <mergeCell ref="H25:I25"/>
    <mergeCell ref="D26:E26"/>
    <mergeCell ref="H26:I26"/>
    <mergeCell ref="A16:F16"/>
    <mergeCell ref="H9:H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9"/>
  <sheetViews>
    <sheetView workbookViewId="0">
      <selection activeCell="D62" sqref="D62"/>
    </sheetView>
  </sheetViews>
  <sheetFormatPr defaultRowHeight="15" x14ac:dyDescent="0.25"/>
  <cols>
    <col min="1" max="1" width="15.28515625" style="7" customWidth="1"/>
    <col min="2" max="2" width="54.140625" style="7" customWidth="1"/>
    <col min="3" max="3" width="20.7109375" customWidth="1"/>
    <col min="4" max="4" width="19.85546875" customWidth="1"/>
    <col min="5" max="5" width="16.5703125" style="7" customWidth="1"/>
    <col min="6" max="6" width="14.140625" style="7" customWidth="1"/>
    <col min="7" max="7" width="15.42578125" style="7" customWidth="1"/>
    <col min="8" max="8" width="12" style="7" customWidth="1"/>
    <col min="9" max="9" width="15.7109375" style="7" customWidth="1"/>
    <col min="10" max="10" width="17.42578125" style="137" customWidth="1"/>
  </cols>
  <sheetData>
    <row r="2" spans="1:15" s="81" customFormat="1" ht="15.75" x14ac:dyDescent="0.25">
      <c r="A2" s="132" t="s">
        <v>100</v>
      </c>
      <c r="B2" s="42"/>
      <c r="C2" s="133"/>
      <c r="E2" s="42"/>
      <c r="F2" s="42"/>
      <c r="G2" s="42"/>
      <c r="H2" s="42"/>
      <c r="I2" s="42"/>
      <c r="J2" s="134"/>
    </row>
    <row r="3" spans="1:15" s="137" customFormat="1" x14ac:dyDescent="0.25">
      <c r="A3" s="135" t="s">
        <v>158</v>
      </c>
      <c r="B3" s="47"/>
      <c r="C3" s="136"/>
      <c r="E3" s="47"/>
      <c r="F3" s="47"/>
      <c r="G3" s="47"/>
      <c r="H3" s="47"/>
      <c r="I3" s="47"/>
    </row>
    <row r="4" spans="1:15" ht="15.75" thickBot="1" x14ac:dyDescent="0.3"/>
    <row r="5" spans="1:15" s="138" customFormat="1" x14ac:dyDescent="0.25">
      <c r="A5" s="213" t="s">
        <v>36</v>
      </c>
      <c r="B5" s="214">
        <v>1014045</v>
      </c>
      <c r="C5" s="215" t="s">
        <v>101</v>
      </c>
      <c r="D5" s="430" t="s">
        <v>35</v>
      </c>
      <c r="E5" s="431"/>
      <c r="F5" s="431"/>
      <c r="G5" s="431"/>
      <c r="H5" s="431"/>
      <c r="I5" s="432"/>
      <c r="J5" s="216" t="s">
        <v>65</v>
      </c>
      <c r="K5" s="217"/>
      <c r="L5" s="217"/>
      <c r="M5" s="217"/>
      <c r="N5" s="217"/>
      <c r="O5" s="217"/>
    </row>
    <row r="6" spans="1:15" s="138" customFormat="1" ht="90" customHeight="1" x14ac:dyDescent="0.25">
      <c r="A6" s="141" t="s">
        <v>102</v>
      </c>
      <c r="B6" s="218" t="s">
        <v>159</v>
      </c>
      <c r="C6" s="219"/>
      <c r="D6" s="220"/>
      <c r="E6" s="221"/>
      <c r="F6" s="221"/>
      <c r="G6" s="221"/>
      <c r="H6" s="221"/>
      <c r="I6" s="222"/>
      <c r="J6" s="223" t="s">
        <v>104</v>
      </c>
      <c r="K6" s="217"/>
      <c r="L6" s="217"/>
      <c r="M6" s="217"/>
      <c r="N6" s="217"/>
      <c r="O6" s="217"/>
    </row>
    <row r="7" spans="1:15" s="138" customFormat="1" ht="15.75" customHeight="1" x14ac:dyDescent="0.25">
      <c r="A7" s="224"/>
      <c r="B7" s="225"/>
      <c r="C7" s="139"/>
      <c r="D7" s="433" t="s">
        <v>105</v>
      </c>
      <c r="E7" s="433"/>
      <c r="F7" s="433"/>
      <c r="G7" s="433"/>
      <c r="H7" s="433"/>
      <c r="I7" s="433"/>
      <c r="J7" s="223" t="s">
        <v>104</v>
      </c>
      <c r="K7" s="217"/>
      <c r="L7" s="217"/>
      <c r="M7" s="217"/>
      <c r="N7" s="217"/>
      <c r="O7" s="217"/>
    </row>
    <row r="8" spans="1:15" s="144" customFormat="1" ht="55.5" customHeight="1" x14ac:dyDescent="0.25">
      <c r="A8" s="434" t="s">
        <v>168</v>
      </c>
      <c r="B8" s="435"/>
      <c r="C8" s="139" t="s">
        <v>106</v>
      </c>
      <c r="D8" s="140" t="s">
        <v>169</v>
      </c>
      <c r="E8" s="141" t="s">
        <v>107</v>
      </c>
      <c r="F8" s="139" t="s">
        <v>108</v>
      </c>
      <c r="G8" s="139" t="s">
        <v>230</v>
      </c>
      <c r="H8" s="142" t="s">
        <v>109</v>
      </c>
      <c r="I8" s="143" t="s">
        <v>110</v>
      </c>
      <c r="J8" s="226"/>
    </row>
    <row r="9" spans="1:15" s="138" customFormat="1" ht="24" customHeight="1" x14ac:dyDescent="0.25">
      <c r="A9" s="227" t="s">
        <v>111</v>
      </c>
      <c r="B9" s="212" t="s">
        <v>160</v>
      </c>
      <c r="C9" s="225" t="s">
        <v>86</v>
      </c>
      <c r="D9" s="228" t="s">
        <v>161</v>
      </c>
      <c r="E9" s="230">
        <v>256</v>
      </c>
      <c r="F9" s="229">
        <v>230</v>
      </c>
      <c r="G9" s="229">
        <v>91</v>
      </c>
      <c r="H9" s="230">
        <v>110</v>
      </c>
      <c r="I9" s="231">
        <f t="shared" ref="I9:I21" si="0">H9/G9</f>
        <v>1.2087912087912087</v>
      </c>
      <c r="J9" s="146" t="s">
        <v>104</v>
      </c>
      <c r="K9" s="217"/>
      <c r="L9" s="217"/>
      <c r="M9" s="217"/>
      <c r="N9" s="217"/>
      <c r="O9" s="217"/>
    </row>
    <row r="10" spans="1:15" s="138" customFormat="1" hidden="1" x14ac:dyDescent="0.25">
      <c r="A10" s="227" t="s">
        <v>162</v>
      </c>
      <c r="B10" s="232"/>
      <c r="C10" s="145" t="s">
        <v>104</v>
      </c>
      <c r="D10" s="233" t="s">
        <v>112</v>
      </c>
      <c r="E10" s="235"/>
      <c r="F10" s="234"/>
      <c r="G10" s="234">
        <v>1</v>
      </c>
      <c r="H10" s="235">
        <v>1</v>
      </c>
      <c r="I10" s="231">
        <f t="shared" si="0"/>
        <v>1</v>
      </c>
      <c r="J10" s="146" t="s">
        <v>104</v>
      </c>
      <c r="K10" s="217"/>
      <c r="L10" s="217"/>
      <c r="M10" s="217"/>
      <c r="N10" s="217"/>
      <c r="O10" s="217"/>
    </row>
    <row r="11" spans="1:15" s="138" customFormat="1" hidden="1" x14ac:dyDescent="0.25">
      <c r="A11" s="227" t="s">
        <v>115</v>
      </c>
      <c r="B11" s="236"/>
      <c r="C11" s="145" t="s">
        <v>104</v>
      </c>
      <c r="D11" s="233" t="s">
        <v>112</v>
      </c>
      <c r="E11" s="235"/>
      <c r="F11" s="234"/>
      <c r="G11" s="234">
        <v>12</v>
      </c>
      <c r="H11" s="235">
        <v>9</v>
      </c>
      <c r="I11" s="231">
        <f t="shared" si="0"/>
        <v>0.75</v>
      </c>
      <c r="J11" s="146" t="s">
        <v>104</v>
      </c>
      <c r="K11" s="217"/>
      <c r="L11" s="217"/>
      <c r="M11" s="217"/>
      <c r="N11" s="217"/>
      <c r="O11" s="217"/>
    </row>
    <row r="12" spans="1:15" s="138" customFormat="1" hidden="1" x14ac:dyDescent="0.25">
      <c r="A12" s="227" t="s">
        <v>163</v>
      </c>
      <c r="B12" s="236"/>
      <c r="C12" s="145" t="s">
        <v>104</v>
      </c>
      <c r="D12" s="233" t="s">
        <v>112</v>
      </c>
      <c r="E12" s="235"/>
      <c r="F12" s="234"/>
      <c r="G12" s="234">
        <v>73</v>
      </c>
      <c r="H12" s="235">
        <v>92</v>
      </c>
      <c r="I12" s="231">
        <f t="shared" si="0"/>
        <v>1.2602739726027397</v>
      </c>
      <c r="J12" s="146" t="s">
        <v>104</v>
      </c>
      <c r="K12" s="217"/>
      <c r="L12" s="217"/>
      <c r="M12" s="217"/>
      <c r="N12" s="217"/>
      <c r="O12" s="217"/>
    </row>
    <row r="13" spans="1:15" s="138" customFormat="1" ht="22.5" customHeight="1" x14ac:dyDescent="0.25">
      <c r="A13" s="227" t="s">
        <v>113</v>
      </c>
      <c r="B13" s="212" t="s">
        <v>228</v>
      </c>
      <c r="C13" s="225" t="s">
        <v>82</v>
      </c>
      <c r="D13" s="228" t="s">
        <v>164</v>
      </c>
      <c r="E13" s="239">
        <v>11</v>
      </c>
      <c r="F13" s="238">
        <v>12</v>
      </c>
      <c r="G13" s="238">
        <v>1</v>
      </c>
      <c r="H13" s="239">
        <v>1</v>
      </c>
      <c r="I13" s="231">
        <f t="shared" si="0"/>
        <v>1</v>
      </c>
      <c r="J13" s="146" t="s">
        <v>104</v>
      </c>
      <c r="K13" s="217"/>
      <c r="L13" s="217"/>
      <c r="M13" s="217"/>
      <c r="N13" s="217"/>
      <c r="O13" s="217"/>
    </row>
    <row r="14" spans="1:15" s="138" customFormat="1" hidden="1" x14ac:dyDescent="0.25">
      <c r="A14" s="147"/>
      <c r="B14" s="236"/>
      <c r="C14" s="145" t="s">
        <v>104</v>
      </c>
      <c r="D14" s="233" t="s">
        <v>112</v>
      </c>
      <c r="E14" s="241"/>
      <c r="F14" s="240"/>
      <c r="G14" s="240"/>
      <c r="H14" s="241"/>
      <c r="I14" s="231" t="e">
        <f t="shared" si="0"/>
        <v>#DIV/0!</v>
      </c>
      <c r="J14" s="146" t="s">
        <v>104</v>
      </c>
      <c r="K14" s="217"/>
      <c r="L14" s="217"/>
      <c r="M14" s="217"/>
      <c r="N14" s="217"/>
      <c r="O14" s="217"/>
    </row>
    <row r="15" spans="1:15" s="138" customFormat="1" hidden="1" x14ac:dyDescent="0.25">
      <c r="A15" s="227"/>
      <c r="B15" s="236"/>
      <c r="C15" s="145" t="s">
        <v>104</v>
      </c>
      <c r="D15" s="233" t="s">
        <v>112</v>
      </c>
      <c r="E15" s="241"/>
      <c r="F15" s="240"/>
      <c r="G15" s="240"/>
      <c r="H15" s="241"/>
      <c r="I15" s="231" t="e">
        <f t="shared" si="0"/>
        <v>#DIV/0!</v>
      </c>
      <c r="J15" s="146" t="s">
        <v>104</v>
      </c>
      <c r="K15" s="217"/>
      <c r="L15" s="217"/>
      <c r="M15" s="217"/>
      <c r="N15" s="217"/>
      <c r="O15" s="217"/>
    </row>
    <row r="16" spans="1:15" s="138" customFormat="1" hidden="1" x14ac:dyDescent="0.25">
      <c r="A16" s="227"/>
      <c r="B16" s="236"/>
      <c r="C16" s="145" t="s">
        <v>104</v>
      </c>
      <c r="D16" s="233" t="s">
        <v>112</v>
      </c>
      <c r="E16" s="241"/>
      <c r="F16" s="240"/>
      <c r="G16" s="240"/>
      <c r="H16" s="241"/>
      <c r="I16" s="231" t="e">
        <f t="shared" si="0"/>
        <v>#DIV/0!</v>
      </c>
      <c r="J16" s="146" t="s">
        <v>104</v>
      </c>
      <c r="K16" s="217"/>
      <c r="L16" s="217"/>
      <c r="M16" s="217"/>
      <c r="N16" s="217"/>
      <c r="O16" s="217"/>
    </row>
    <row r="17" spans="1:15" s="138" customFormat="1" ht="21.75" customHeight="1" thickBot="1" x14ac:dyDescent="0.3">
      <c r="A17" s="242" t="s">
        <v>115</v>
      </c>
      <c r="B17" s="243" t="s">
        <v>165</v>
      </c>
      <c r="C17" s="244" t="s">
        <v>92</v>
      </c>
      <c r="D17" s="245" t="s">
        <v>166</v>
      </c>
      <c r="E17" s="247">
        <v>38</v>
      </c>
      <c r="F17" s="246">
        <v>48</v>
      </c>
      <c r="G17" s="246">
        <v>16</v>
      </c>
      <c r="H17" s="247">
        <v>13</v>
      </c>
      <c r="I17" s="231">
        <f t="shared" si="0"/>
        <v>0.8125</v>
      </c>
      <c r="J17" s="148" t="s">
        <v>104</v>
      </c>
      <c r="K17" s="217"/>
      <c r="L17" s="217"/>
      <c r="M17" s="217"/>
      <c r="N17" s="217"/>
      <c r="O17" s="217"/>
    </row>
    <row r="18" spans="1:15" ht="36.75" customHeight="1" x14ac:dyDescent="0.25">
      <c r="A18" s="227" t="s">
        <v>163</v>
      </c>
      <c r="B18" s="212" t="s">
        <v>229</v>
      </c>
      <c r="C18" s="225" t="s">
        <v>89</v>
      </c>
      <c r="D18" s="228" t="s">
        <v>167</v>
      </c>
      <c r="E18" s="239">
        <v>305</v>
      </c>
      <c r="F18" s="238">
        <v>290</v>
      </c>
      <c r="G18" s="238">
        <v>108</v>
      </c>
      <c r="H18" s="239">
        <v>124</v>
      </c>
      <c r="I18" s="231">
        <f t="shared" si="0"/>
        <v>1.1481481481481481</v>
      </c>
      <c r="J18" s="146" t="s">
        <v>104</v>
      </c>
      <c r="K18" s="248"/>
      <c r="L18" s="248"/>
      <c r="M18" s="248"/>
      <c r="N18" s="248"/>
      <c r="O18" s="248"/>
    </row>
    <row r="19" spans="1:15" s="137" customFormat="1" ht="12.75" hidden="1" x14ac:dyDescent="0.2">
      <c r="A19" s="147"/>
      <c r="B19" s="139"/>
      <c r="C19" s="145" t="s">
        <v>104</v>
      </c>
      <c r="D19" s="233" t="s">
        <v>112</v>
      </c>
      <c r="E19" s="237"/>
      <c r="F19" s="240"/>
      <c r="G19" s="249"/>
      <c r="H19" s="241"/>
      <c r="I19" s="231" t="e">
        <f t="shared" si="0"/>
        <v>#DIV/0!</v>
      </c>
      <c r="J19" s="146" t="s">
        <v>104</v>
      </c>
    </row>
    <row r="20" spans="1:15" s="137" customFormat="1" ht="12.75" hidden="1" x14ac:dyDescent="0.2">
      <c r="A20" s="227"/>
      <c r="B20" s="139"/>
      <c r="C20" s="145" t="s">
        <v>104</v>
      </c>
      <c r="D20" s="233" t="s">
        <v>112</v>
      </c>
      <c r="E20" s="237"/>
      <c r="F20" s="240"/>
      <c r="G20" s="249"/>
      <c r="H20" s="241"/>
      <c r="I20" s="231" t="e">
        <f t="shared" si="0"/>
        <v>#DIV/0!</v>
      </c>
      <c r="J20" s="146" t="s">
        <v>104</v>
      </c>
    </row>
    <row r="21" spans="1:15" s="137" customFormat="1" ht="23.25" hidden="1" x14ac:dyDescent="0.2">
      <c r="A21" s="227"/>
      <c r="B21" s="139"/>
      <c r="C21" s="145" t="s">
        <v>104</v>
      </c>
      <c r="D21" s="233" t="s">
        <v>112</v>
      </c>
      <c r="E21" s="237"/>
      <c r="F21" s="240"/>
      <c r="G21" s="249"/>
      <c r="H21" s="241"/>
      <c r="I21" s="231" t="e">
        <f t="shared" si="0"/>
        <v>#DIV/0!</v>
      </c>
      <c r="J21" s="146" t="s">
        <v>104</v>
      </c>
    </row>
    <row r="22" spans="1:15" s="137" customFormat="1" ht="12.75" x14ac:dyDescent="0.2">
      <c r="A22" s="250"/>
      <c r="B22" s="250"/>
      <c r="C22" s="248"/>
      <c r="D22" s="248"/>
      <c r="E22" s="250"/>
      <c r="F22" s="250"/>
      <c r="G22" s="250"/>
      <c r="H22" s="250"/>
      <c r="I22" s="250"/>
    </row>
    <row r="23" spans="1:15" x14ac:dyDescent="0.25">
      <c r="A23" s="149" t="s">
        <v>170</v>
      </c>
      <c r="B23" s="137"/>
      <c r="C23" s="150"/>
      <c r="D23" s="137"/>
      <c r="E23" s="47"/>
      <c r="F23" s="47"/>
      <c r="G23" s="47"/>
      <c r="H23" s="47"/>
      <c r="I23" s="47"/>
      <c r="K23" s="248"/>
      <c r="L23" s="248"/>
      <c r="M23" s="248"/>
      <c r="N23" s="248"/>
      <c r="O23" s="248"/>
    </row>
    <row r="24" spans="1:15" x14ac:dyDescent="0.25">
      <c r="A24" s="149" t="s">
        <v>171</v>
      </c>
      <c r="B24" s="137"/>
      <c r="C24" s="150"/>
      <c r="D24" s="137"/>
      <c r="E24" s="47"/>
      <c r="F24" s="47"/>
      <c r="G24" s="47"/>
      <c r="H24" s="47"/>
      <c r="I24" s="47"/>
      <c r="K24" s="248"/>
      <c r="L24" s="248"/>
      <c r="M24" s="248"/>
      <c r="N24" s="248"/>
      <c r="O24" s="248"/>
    </row>
    <row r="25" spans="1:15" x14ac:dyDescent="0.25">
      <c r="A25" s="149" t="s">
        <v>172</v>
      </c>
      <c r="B25" s="137"/>
      <c r="C25" s="150"/>
      <c r="D25" s="137"/>
      <c r="E25" s="47"/>
      <c r="F25" s="47"/>
      <c r="G25" s="47"/>
      <c r="H25" s="47"/>
      <c r="I25" s="47"/>
      <c r="K25" s="248"/>
      <c r="L25" s="248"/>
      <c r="M25" s="248"/>
      <c r="N25" s="248"/>
      <c r="O25" s="248"/>
    </row>
    <row r="26" spans="1:15" x14ac:dyDescent="0.25">
      <c r="A26" s="149" t="s">
        <v>117</v>
      </c>
      <c r="B26" s="137"/>
      <c r="C26" s="150"/>
      <c r="D26" s="137"/>
      <c r="E26" s="47"/>
      <c r="F26" s="47"/>
      <c r="G26" s="47"/>
      <c r="H26" s="47"/>
      <c r="I26" s="47"/>
      <c r="K26" s="248"/>
      <c r="L26" s="248"/>
      <c r="M26" s="248"/>
      <c r="N26" s="248"/>
      <c r="O26" s="248"/>
    </row>
    <row r="28" spans="1:15" s="138" customFormat="1" x14ac:dyDescent="0.25">
      <c r="A28" s="7"/>
      <c r="B28" s="7"/>
      <c r="C28"/>
      <c r="D28"/>
      <c r="E28" s="7"/>
      <c r="F28" s="7"/>
      <c r="G28" s="7"/>
      <c r="H28" s="7"/>
      <c r="I28" s="7"/>
      <c r="J28" s="137"/>
    </row>
    <row r="29" spans="1:15" s="138" customFormat="1" hidden="1" x14ac:dyDescent="0.25">
      <c r="A29" s="151" t="s">
        <v>118</v>
      </c>
      <c r="B29" s="152"/>
      <c r="C29" s="153"/>
      <c r="D29" s="153"/>
      <c r="E29" s="152"/>
      <c r="F29" s="152"/>
      <c r="G29" s="152"/>
      <c r="H29" s="152"/>
      <c r="I29" s="152"/>
      <c r="J29" s="137"/>
    </row>
    <row r="30" spans="1:15" s="138" customFormat="1" ht="15.75" hidden="1" customHeight="1" x14ac:dyDescent="0.25">
      <c r="A30" s="154" t="s">
        <v>119</v>
      </c>
      <c r="B30" s="152"/>
      <c r="C30" s="155"/>
      <c r="D30" s="153"/>
      <c r="E30" s="152"/>
      <c r="F30" s="152"/>
      <c r="G30" s="152"/>
      <c r="H30" s="152"/>
      <c r="I30" s="152"/>
      <c r="J30" s="137"/>
    </row>
    <row r="31" spans="1:15" s="144" customFormat="1" ht="15.75" hidden="1" thickBot="1" x14ac:dyDescent="0.3">
      <c r="A31" s="152"/>
      <c r="B31" s="152"/>
      <c r="C31" s="153"/>
      <c r="D31" s="153"/>
      <c r="E31" s="152"/>
      <c r="F31" s="152"/>
      <c r="G31" s="152"/>
      <c r="H31" s="152"/>
      <c r="I31" s="152"/>
      <c r="J31" s="137"/>
    </row>
    <row r="32" spans="1:15" s="138" customFormat="1" ht="12" hidden="1" customHeight="1" thickTop="1" x14ac:dyDescent="0.25">
      <c r="A32" s="156"/>
      <c r="B32" s="157" t="s">
        <v>101</v>
      </c>
      <c r="C32" s="158"/>
      <c r="D32" s="418"/>
      <c r="E32" s="419"/>
      <c r="F32" s="419"/>
      <c r="G32" s="419"/>
      <c r="H32" s="420"/>
      <c r="I32" s="159"/>
      <c r="J32" s="160"/>
    </row>
    <row r="33" spans="1:12" s="138" customFormat="1" ht="12" hidden="1" customHeight="1" x14ac:dyDescent="0.25">
      <c r="A33" s="161" t="s">
        <v>102</v>
      </c>
      <c r="B33" s="162" t="s">
        <v>103</v>
      </c>
      <c r="C33" s="163"/>
      <c r="D33" s="421"/>
      <c r="E33" s="422"/>
      <c r="F33" s="422"/>
      <c r="G33" s="422"/>
      <c r="H33" s="423"/>
      <c r="I33" s="164"/>
      <c r="J33" s="165" t="s">
        <v>120</v>
      </c>
    </row>
    <row r="34" spans="1:12" s="138" customFormat="1" ht="12" hidden="1" customHeight="1" x14ac:dyDescent="0.25">
      <c r="A34" s="424" t="s">
        <v>121</v>
      </c>
      <c r="B34" s="425"/>
      <c r="C34" s="163"/>
      <c r="D34" s="428" t="s">
        <v>122</v>
      </c>
      <c r="E34" s="429"/>
      <c r="F34" s="429"/>
      <c r="G34" s="429"/>
      <c r="H34" s="429"/>
      <c r="I34" s="429"/>
      <c r="J34" s="166"/>
    </row>
    <row r="35" spans="1:12" s="138" customFormat="1" ht="12" hidden="1" customHeight="1" x14ac:dyDescent="0.25">
      <c r="A35" s="426"/>
      <c r="B35" s="427"/>
      <c r="C35" s="167" t="s">
        <v>106</v>
      </c>
      <c r="D35" s="167" t="s">
        <v>67</v>
      </c>
      <c r="E35" s="168" t="s">
        <v>123</v>
      </c>
      <c r="F35" s="169" t="s">
        <v>124</v>
      </c>
      <c r="G35" s="169" t="s">
        <v>125</v>
      </c>
      <c r="H35" s="169" t="s">
        <v>126</v>
      </c>
      <c r="I35" s="168" t="s">
        <v>127</v>
      </c>
      <c r="J35" s="170"/>
    </row>
    <row r="36" spans="1:12" s="138" customFormat="1" ht="12" hidden="1" customHeight="1" x14ac:dyDescent="0.25">
      <c r="A36" s="161" t="s">
        <v>111</v>
      </c>
      <c r="B36" s="168" t="s">
        <v>128</v>
      </c>
      <c r="C36" s="171"/>
      <c r="D36" s="171"/>
      <c r="E36" s="171"/>
      <c r="F36" s="171"/>
      <c r="G36" s="171"/>
      <c r="H36" s="171"/>
      <c r="I36" s="171"/>
      <c r="J36" s="165" t="s">
        <v>129</v>
      </c>
    </row>
    <row r="37" spans="1:12" s="138" customFormat="1" ht="12" hidden="1" customHeight="1" x14ac:dyDescent="0.25">
      <c r="A37" s="161"/>
      <c r="B37" s="172"/>
      <c r="C37" s="172" t="s">
        <v>89</v>
      </c>
      <c r="D37" s="173" t="s">
        <v>130</v>
      </c>
      <c r="E37" s="162">
        <v>35</v>
      </c>
      <c r="F37" s="174">
        <v>32</v>
      </c>
      <c r="G37" s="174">
        <v>33</v>
      </c>
      <c r="H37" s="174">
        <v>33</v>
      </c>
      <c r="I37" s="175">
        <f>H37/G37</f>
        <v>1</v>
      </c>
      <c r="J37" s="165" t="s">
        <v>131</v>
      </c>
    </row>
    <row r="38" spans="1:12" s="138" customFormat="1" ht="12" hidden="1" customHeight="1" x14ac:dyDescent="0.25">
      <c r="A38" s="161"/>
      <c r="B38" s="162"/>
      <c r="C38" s="162" t="s">
        <v>92</v>
      </c>
      <c r="D38" s="176" t="s">
        <v>132</v>
      </c>
      <c r="E38" s="172">
        <v>1000</v>
      </c>
      <c r="F38" s="174">
        <v>2000</v>
      </c>
      <c r="G38" s="174">
        <v>1900</v>
      </c>
      <c r="H38" s="174">
        <v>2100</v>
      </c>
      <c r="I38" s="175">
        <f>H38/G38</f>
        <v>1.1052631578947369</v>
      </c>
      <c r="J38" s="165" t="s">
        <v>133</v>
      </c>
    </row>
    <row r="39" spans="1:12" s="138" customFormat="1" ht="12" hidden="1" customHeight="1" x14ac:dyDescent="0.25">
      <c r="A39" s="161"/>
      <c r="B39" s="162"/>
      <c r="C39" s="172" t="s">
        <v>134</v>
      </c>
      <c r="D39" s="171" t="s">
        <v>135</v>
      </c>
      <c r="E39" s="162">
        <v>5000</v>
      </c>
      <c r="F39" s="174">
        <v>7000</v>
      </c>
      <c r="G39" s="174">
        <v>6900</v>
      </c>
      <c r="H39" s="174">
        <v>3000</v>
      </c>
      <c r="I39" s="175">
        <f>H39/G39</f>
        <v>0.43478260869565216</v>
      </c>
      <c r="J39" s="170" t="s">
        <v>104</v>
      </c>
    </row>
    <row r="40" spans="1:12" s="138" customFormat="1" ht="12" hidden="1" customHeight="1" x14ac:dyDescent="0.25">
      <c r="A40" s="161" t="s">
        <v>113</v>
      </c>
      <c r="B40" s="162" t="s">
        <v>114</v>
      </c>
      <c r="C40" s="162" t="s">
        <v>136</v>
      </c>
      <c r="D40" s="171" t="s">
        <v>137</v>
      </c>
      <c r="E40" s="174">
        <v>15</v>
      </c>
      <c r="F40" s="174">
        <v>25</v>
      </c>
      <c r="G40" s="174">
        <v>25</v>
      </c>
      <c r="H40" s="174">
        <v>25</v>
      </c>
      <c r="I40" s="175">
        <f>H40/G40</f>
        <v>1</v>
      </c>
      <c r="J40" s="170" t="s">
        <v>104</v>
      </c>
    </row>
    <row r="41" spans="1:12" ht="12" hidden="1" customHeight="1" x14ac:dyDescent="0.25">
      <c r="A41" s="177"/>
      <c r="B41" s="162"/>
      <c r="C41" s="171"/>
      <c r="D41" s="171"/>
      <c r="E41" s="162"/>
      <c r="F41" s="178"/>
      <c r="G41" s="178"/>
      <c r="H41" s="178"/>
      <c r="I41" s="178"/>
      <c r="J41" s="170" t="s">
        <v>104</v>
      </c>
    </row>
    <row r="42" spans="1:12" ht="12" hidden="1" customHeight="1" x14ac:dyDescent="0.25">
      <c r="A42" s="161"/>
      <c r="B42" s="162"/>
      <c r="C42" s="171"/>
      <c r="D42" s="171"/>
      <c r="E42" s="162"/>
      <c r="F42" s="178"/>
      <c r="G42" s="178"/>
      <c r="H42" s="178"/>
      <c r="I42" s="178"/>
      <c r="J42" s="170" t="s">
        <v>104</v>
      </c>
    </row>
    <row r="43" spans="1:12" hidden="1" x14ac:dyDescent="0.25">
      <c r="A43" s="161"/>
      <c r="B43" s="162"/>
      <c r="C43" s="171"/>
      <c r="D43" s="171"/>
      <c r="E43" s="162"/>
      <c r="F43" s="178"/>
      <c r="G43" s="178"/>
      <c r="H43" s="178"/>
      <c r="I43" s="178"/>
      <c r="J43" s="170" t="s">
        <v>104</v>
      </c>
    </row>
    <row r="44" spans="1:12" ht="15" hidden="1" customHeight="1" thickBot="1" x14ac:dyDescent="0.3">
      <c r="A44" s="179" t="s">
        <v>115</v>
      </c>
      <c r="B44" s="180" t="s">
        <v>116</v>
      </c>
      <c r="C44" s="181"/>
      <c r="D44" s="181"/>
      <c r="E44" s="180"/>
      <c r="F44" s="182"/>
      <c r="G44" s="182"/>
      <c r="H44" s="182"/>
      <c r="I44" s="182"/>
      <c r="J44" s="183" t="s">
        <v>104</v>
      </c>
      <c r="K44" s="416"/>
      <c r="L44" s="417"/>
    </row>
    <row r="45" spans="1:12" ht="15.75" hidden="1" thickTop="1" x14ac:dyDescent="0.25">
      <c r="K45" s="416"/>
      <c r="L45" s="417"/>
    </row>
    <row r="46" spans="1:12" hidden="1" x14ac:dyDescent="0.25">
      <c r="K46" s="416"/>
      <c r="L46" s="417"/>
    </row>
    <row r="47" spans="1:12" hidden="1" x14ac:dyDescent="0.25"/>
    <row r="48" spans="1:12" hidden="1" x14ac:dyDescent="0.25">
      <c r="A48" s="391"/>
      <c r="B48" s="388" t="s">
        <v>58</v>
      </c>
      <c r="C48" s="131" t="s">
        <v>29</v>
      </c>
      <c r="D48" s="347"/>
      <c r="E48" s="348"/>
      <c r="F48" s="388" t="s">
        <v>28</v>
      </c>
      <c r="G48" s="436"/>
      <c r="H48" s="389"/>
      <c r="I48" s="131" t="s">
        <v>29</v>
      </c>
      <c r="J48" s="55"/>
    </row>
    <row r="49" spans="1:10" hidden="1" x14ac:dyDescent="0.25">
      <c r="A49" s="391"/>
      <c r="B49" s="390"/>
      <c r="C49" s="131" t="s">
        <v>30</v>
      </c>
      <c r="D49" s="347"/>
      <c r="E49" s="348"/>
      <c r="F49" s="390"/>
      <c r="G49" s="437"/>
      <c r="H49" s="391"/>
      <c r="I49" s="131" t="s">
        <v>30</v>
      </c>
      <c r="J49" s="55"/>
    </row>
    <row r="50" spans="1:10" hidden="1" x14ac:dyDescent="0.25">
      <c r="A50" s="391"/>
      <c r="B50" s="392"/>
      <c r="C50" s="131" t="s">
        <v>31</v>
      </c>
      <c r="D50" s="347"/>
      <c r="E50" s="348"/>
      <c r="F50" s="392"/>
      <c r="G50" s="438"/>
      <c r="H50" s="393"/>
      <c r="I50" s="131" t="s">
        <v>31</v>
      </c>
      <c r="J50" s="55"/>
    </row>
    <row r="51" spans="1:10" hidden="1" x14ac:dyDescent="0.25"/>
    <row r="52" spans="1:10" hidden="1" x14ac:dyDescent="0.25"/>
    <row r="53" spans="1:10" hidden="1" x14ac:dyDescent="0.25"/>
    <row r="54" spans="1:10" hidden="1" x14ac:dyDescent="0.25"/>
    <row r="55" spans="1:10" hidden="1" x14ac:dyDescent="0.25"/>
    <row r="56" spans="1:10" hidden="1" x14ac:dyDescent="0.25"/>
    <row r="57" spans="1:10" hidden="1" x14ac:dyDescent="0.25"/>
    <row r="58" spans="1:10" hidden="1" x14ac:dyDescent="0.25"/>
    <row r="59" spans="1:10" hidden="1" x14ac:dyDescent="0.25"/>
  </sheetData>
  <mergeCells count="16">
    <mergeCell ref="A48:A50"/>
    <mergeCell ref="B48:B50"/>
    <mergeCell ref="D48:E48"/>
    <mergeCell ref="F48:H50"/>
    <mergeCell ref="D49:E49"/>
    <mergeCell ref="D50:E50"/>
    <mergeCell ref="A34:B35"/>
    <mergeCell ref="D34:I34"/>
    <mergeCell ref="D5:I5"/>
    <mergeCell ref="D7:I7"/>
    <mergeCell ref="A8:B8"/>
    <mergeCell ref="K44:L44"/>
    <mergeCell ref="K45:L45"/>
    <mergeCell ref="K46:L46"/>
    <mergeCell ref="D32:H32"/>
    <mergeCell ref="D33:H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workbookViewId="0">
      <selection activeCell="L35" sqref="L35"/>
    </sheetView>
  </sheetViews>
  <sheetFormatPr defaultRowHeight="12.75" x14ac:dyDescent="0.25"/>
  <cols>
    <col min="1" max="1" width="9.140625" style="194"/>
    <col min="2" max="2" width="31.42578125" style="194" customWidth="1"/>
    <col min="3" max="10" width="9.140625" style="194"/>
    <col min="11" max="11" width="15" style="194" customWidth="1"/>
    <col min="12" max="16384" width="9.140625" style="194"/>
  </cols>
  <sheetData>
    <row r="2" spans="1:11" s="185" customFormat="1" ht="15.75" x14ac:dyDescent="0.25">
      <c r="A2" s="184" t="s">
        <v>138</v>
      </c>
      <c r="C2" s="186"/>
      <c r="G2" s="187"/>
      <c r="H2" s="187"/>
      <c r="I2" s="187"/>
    </row>
    <row r="3" spans="1:11" s="189" customFormat="1" x14ac:dyDescent="0.25">
      <c r="A3" s="188"/>
      <c r="G3" s="190"/>
      <c r="H3" s="190"/>
      <c r="I3" s="190"/>
    </row>
    <row r="4" spans="1:11" s="192" customFormat="1" x14ac:dyDescent="0.25">
      <c r="A4" s="191" t="s">
        <v>139</v>
      </c>
      <c r="C4" s="191"/>
      <c r="G4" s="193"/>
      <c r="H4" s="193"/>
      <c r="I4" s="193"/>
    </row>
    <row r="5" spans="1:11" ht="13.5" thickBot="1" x14ac:dyDescent="0.3">
      <c r="C5" s="195"/>
      <c r="E5" s="195"/>
      <c r="F5" s="195"/>
      <c r="G5" s="196"/>
      <c r="H5" s="196"/>
      <c r="I5" s="196"/>
    </row>
    <row r="6" spans="1:11" ht="33.75" customHeight="1" x14ac:dyDescent="0.25">
      <c r="A6" s="444" t="s">
        <v>140</v>
      </c>
      <c r="B6" s="447" t="s">
        <v>141</v>
      </c>
      <c r="C6" s="197" t="s">
        <v>142</v>
      </c>
      <c r="D6" s="197" t="s">
        <v>143</v>
      </c>
      <c r="E6" s="197" t="s">
        <v>144</v>
      </c>
      <c r="F6" s="197" t="s">
        <v>173</v>
      </c>
      <c r="G6" s="447" t="s">
        <v>241</v>
      </c>
      <c r="H6" s="447" t="s">
        <v>147</v>
      </c>
      <c r="I6" s="447" t="s">
        <v>148</v>
      </c>
      <c r="J6" s="447" t="s">
        <v>149</v>
      </c>
      <c r="K6" s="439" t="s">
        <v>65</v>
      </c>
    </row>
    <row r="7" spans="1:11" ht="12.75" customHeight="1" x14ac:dyDescent="0.25">
      <c r="A7" s="445"/>
      <c r="B7" s="442"/>
      <c r="C7" s="198" t="s">
        <v>150</v>
      </c>
      <c r="D7" s="198" t="s">
        <v>151</v>
      </c>
      <c r="E7" s="198" t="s">
        <v>151</v>
      </c>
      <c r="F7" s="442" t="s">
        <v>152</v>
      </c>
      <c r="G7" s="442"/>
      <c r="H7" s="442"/>
      <c r="I7" s="442"/>
      <c r="J7" s="442"/>
      <c r="K7" s="440"/>
    </row>
    <row r="8" spans="1:11" ht="33" customHeight="1" thickBot="1" x14ac:dyDescent="0.3">
      <c r="A8" s="446"/>
      <c r="B8" s="443"/>
      <c r="C8" s="199" t="s">
        <v>153</v>
      </c>
      <c r="D8" s="199" t="s">
        <v>153</v>
      </c>
      <c r="E8" s="199" t="s">
        <v>153</v>
      </c>
      <c r="F8" s="443"/>
      <c r="G8" s="443"/>
      <c r="H8" s="443"/>
      <c r="I8" s="443"/>
      <c r="J8" s="443"/>
      <c r="K8" s="441"/>
    </row>
    <row r="9" spans="1:11" ht="37.5" customHeight="1" x14ac:dyDescent="0.25">
      <c r="A9" s="200" t="s">
        <v>231</v>
      </c>
      <c r="B9" s="201" t="s">
        <v>232</v>
      </c>
      <c r="C9" s="251">
        <v>51000</v>
      </c>
      <c r="D9" s="201">
        <v>2017</v>
      </c>
      <c r="E9" s="201">
        <v>2019</v>
      </c>
      <c r="F9" s="251"/>
      <c r="G9" s="201">
        <v>28000</v>
      </c>
      <c r="H9" s="251">
        <v>0</v>
      </c>
      <c r="I9" s="251">
        <v>0</v>
      </c>
      <c r="J9" s="251">
        <v>0</v>
      </c>
      <c r="K9" s="202" t="s">
        <v>233</v>
      </c>
    </row>
    <row r="10" spans="1:11" x14ac:dyDescent="0.25">
      <c r="A10" s="203"/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3.5" thickBot="1" x14ac:dyDescent="0.3">
      <c r="A11" s="206"/>
      <c r="B11" s="207"/>
      <c r="C11" s="207"/>
      <c r="D11" s="207"/>
      <c r="E11" s="207"/>
      <c r="F11" s="207"/>
      <c r="G11" s="207"/>
      <c r="H11" s="207"/>
      <c r="I11" s="207"/>
      <c r="J11" s="207"/>
      <c r="K11" s="208"/>
    </row>
    <row r="12" spans="1:11" x14ac:dyDescent="0.25">
      <c r="A12" s="196"/>
      <c r="B12" s="196"/>
      <c r="C12" s="196"/>
      <c r="D12" s="196"/>
      <c r="E12" s="196"/>
      <c r="F12" s="196"/>
      <c r="G12" s="196"/>
      <c r="H12" s="196"/>
      <c r="I12" s="196"/>
    </row>
    <row r="13" spans="1:11" x14ac:dyDescent="0.25">
      <c r="E13" s="196"/>
      <c r="F13" s="196"/>
      <c r="G13" s="196"/>
      <c r="H13" s="196"/>
      <c r="I13" s="196"/>
    </row>
    <row r="14" spans="1:11" x14ac:dyDescent="0.25">
      <c r="G14" s="196"/>
      <c r="H14" s="196"/>
      <c r="I14" s="196"/>
    </row>
    <row r="15" spans="1:11" s="192" customFormat="1" x14ac:dyDescent="0.25">
      <c r="A15" s="191" t="s">
        <v>154</v>
      </c>
      <c r="G15" s="193"/>
      <c r="H15" s="193"/>
      <c r="I15" s="193"/>
    </row>
    <row r="16" spans="1:11" ht="16.5" thickBot="1" x14ac:dyDescent="0.3">
      <c r="C16" s="209"/>
      <c r="D16" s="210"/>
      <c r="E16" s="195"/>
      <c r="F16" s="195"/>
      <c r="G16" s="210"/>
      <c r="H16" s="211"/>
      <c r="I16" s="211"/>
    </row>
    <row r="17" spans="1:12" ht="33.75" customHeight="1" x14ac:dyDescent="0.25">
      <c r="A17" s="444" t="s">
        <v>140</v>
      </c>
      <c r="B17" s="447" t="s">
        <v>141</v>
      </c>
      <c r="C17" s="197" t="s">
        <v>155</v>
      </c>
      <c r="D17" s="197" t="s">
        <v>142</v>
      </c>
      <c r="E17" s="197" t="s">
        <v>143</v>
      </c>
      <c r="F17" s="197" t="s">
        <v>156</v>
      </c>
      <c r="G17" s="197" t="s">
        <v>145</v>
      </c>
      <c r="H17" s="447" t="s">
        <v>146</v>
      </c>
      <c r="I17" s="447" t="s">
        <v>148</v>
      </c>
      <c r="J17" s="447" t="s">
        <v>147</v>
      </c>
      <c r="K17" s="447" t="s">
        <v>149</v>
      </c>
      <c r="L17" s="439" t="s">
        <v>65</v>
      </c>
    </row>
    <row r="18" spans="1:12" ht="22.5" x14ac:dyDescent="0.25">
      <c r="A18" s="445"/>
      <c r="B18" s="442"/>
      <c r="C18" s="198" t="s">
        <v>157</v>
      </c>
      <c r="D18" s="198" t="s">
        <v>150</v>
      </c>
      <c r="E18" s="198" t="s">
        <v>151</v>
      </c>
      <c r="F18" s="198" t="s">
        <v>151</v>
      </c>
      <c r="G18" s="198" t="s">
        <v>152</v>
      </c>
      <c r="H18" s="442"/>
      <c r="I18" s="442"/>
      <c r="J18" s="442"/>
      <c r="K18" s="442"/>
      <c r="L18" s="440"/>
    </row>
    <row r="19" spans="1:12" ht="13.5" thickBot="1" x14ac:dyDescent="0.3">
      <c r="A19" s="446"/>
      <c r="B19" s="443"/>
      <c r="C19" s="199"/>
      <c r="D19" s="199" t="s">
        <v>153</v>
      </c>
      <c r="E19" s="199" t="s">
        <v>153</v>
      </c>
      <c r="F19" s="199" t="s">
        <v>153</v>
      </c>
      <c r="G19" s="199"/>
      <c r="H19" s="443"/>
      <c r="I19" s="443"/>
      <c r="J19" s="443"/>
      <c r="K19" s="443"/>
      <c r="L19" s="441"/>
    </row>
    <row r="20" spans="1:12" x14ac:dyDescent="0.25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2"/>
    </row>
    <row r="21" spans="1:12" x14ac:dyDescent="0.25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5"/>
    </row>
    <row r="22" spans="1:12" x14ac:dyDescent="0.25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5"/>
    </row>
    <row r="23" spans="1:12" ht="13.5" thickBot="1" x14ac:dyDescent="0.3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8"/>
    </row>
    <row r="27" spans="1:12" ht="12.75" customHeight="1" x14ac:dyDescent="0.2">
      <c r="A27" s="388" t="s">
        <v>58</v>
      </c>
      <c r="B27" s="389"/>
      <c r="C27" s="131" t="s">
        <v>29</v>
      </c>
      <c r="D27" s="347" t="s">
        <v>176</v>
      </c>
      <c r="E27" s="348"/>
      <c r="F27" s="394" t="s">
        <v>28</v>
      </c>
      <c r="G27" s="131" t="s">
        <v>29</v>
      </c>
      <c r="H27" s="347" t="s">
        <v>174</v>
      </c>
      <c r="I27" s="348"/>
    </row>
    <row r="28" spans="1:12" x14ac:dyDescent="0.2">
      <c r="A28" s="390"/>
      <c r="B28" s="391"/>
      <c r="C28" s="131" t="s">
        <v>30</v>
      </c>
      <c r="D28" s="347"/>
      <c r="E28" s="348"/>
      <c r="F28" s="395"/>
      <c r="G28" s="131" t="s">
        <v>30</v>
      </c>
      <c r="H28" s="347"/>
      <c r="I28" s="348"/>
    </row>
    <row r="29" spans="1:12" x14ac:dyDescent="0.2">
      <c r="A29" s="392"/>
      <c r="B29" s="393"/>
      <c r="C29" s="131" t="s">
        <v>31</v>
      </c>
      <c r="D29" s="347"/>
      <c r="E29" s="348"/>
      <c r="F29" s="396"/>
      <c r="G29" s="131" t="s">
        <v>31</v>
      </c>
      <c r="H29" s="347"/>
      <c r="I29" s="348"/>
    </row>
  </sheetData>
  <mergeCells count="23">
    <mergeCell ref="K6:K8"/>
    <mergeCell ref="F7:F8"/>
    <mergeCell ref="A17:A19"/>
    <mergeCell ref="B17:B19"/>
    <mergeCell ref="H17:H19"/>
    <mergeCell ref="I17:I19"/>
    <mergeCell ref="J17:J19"/>
    <mergeCell ref="K17:K19"/>
    <mergeCell ref="A6:A8"/>
    <mergeCell ref="B6:B8"/>
    <mergeCell ref="G6:G8"/>
    <mergeCell ref="H6:H8"/>
    <mergeCell ref="I6:I8"/>
    <mergeCell ref="J6:J8"/>
    <mergeCell ref="L17:L19"/>
    <mergeCell ref="A27:B29"/>
    <mergeCell ref="D27:E27"/>
    <mergeCell ref="F27:F29"/>
    <mergeCell ref="H27:I27"/>
    <mergeCell ref="D28:E28"/>
    <mergeCell ref="H28:I28"/>
    <mergeCell ref="D29:E29"/>
    <mergeCell ref="H29:I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topLeftCell="B28" workbookViewId="0">
      <selection activeCell="B28" sqref="A1:XFD1048576"/>
    </sheetView>
  </sheetViews>
  <sheetFormatPr defaultColWidth="11.5703125" defaultRowHeight="15" x14ac:dyDescent="0.25"/>
  <cols>
    <col min="1" max="1" width="20" hidden="1" customWidth="1"/>
    <col min="2" max="2" width="22.140625" customWidth="1"/>
    <col min="3" max="5" width="11.28515625" customWidth="1"/>
    <col min="6" max="7" width="11.5703125" customWidth="1"/>
    <col min="8" max="8" width="11.28515625" customWidth="1"/>
    <col min="9" max="9" width="10.85546875" customWidth="1"/>
    <col min="10" max="10" width="9.85546875" customWidth="1"/>
    <col min="11" max="11" width="11" customWidth="1"/>
    <col min="12" max="12" width="10.140625" customWidth="1"/>
    <col min="13" max="13" width="10" customWidth="1"/>
    <col min="14" max="14" width="11.5703125" customWidth="1"/>
    <col min="15" max="15" width="10.28515625" customWidth="1"/>
    <col min="16" max="17" width="11.5703125" customWidth="1"/>
    <col min="18" max="18" width="10.28515625" customWidth="1"/>
    <col min="19" max="19" width="12.85546875" customWidth="1"/>
    <col min="20" max="236" width="9.140625" customWidth="1"/>
    <col min="237" max="237" width="20" customWidth="1"/>
    <col min="238" max="238" width="25.85546875" customWidth="1"/>
    <col min="239" max="246" width="11" customWidth="1"/>
  </cols>
  <sheetData>
    <row r="1" spans="1:19" ht="15.75" thickBot="1" x14ac:dyDescent="0.3"/>
    <row r="2" spans="1:19" ht="15.75" thickBot="1" x14ac:dyDescent="0.3">
      <c r="A2" s="252" t="s">
        <v>181</v>
      </c>
      <c r="B2" s="253" t="s">
        <v>182</v>
      </c>
      <c r="C2" s="448" t="s">
        <v>183</v>
      </c>
      <c r="D2" s="449"/>
      <c r="E2" s="449"/>
      <c r="F2" s="450"/>
      <c r="G2" s="254"/>
      <c r="H2" s="448" t="s">
        <v>184</v>
      </c>
      <c r="I2" s="449"/>
      <c r="J2" s="449"/>
      <c r="K2" s="450"/>
      <c r="L2" s="448" t="s">
        <v>185</v>
      </c>
      <c r="M2" s="449"/>
      <c r="N2" s="449"/>
      <c r="O2" s="450"/>
      <c r="P2" s="255" t="s">
        <v>186</v>
      </c>
      <c r="Q2" s="254"/>
      <c r="R2" s="254"/>
      <c r="S2" s="256"/>
    </row>
    <row r="3" spans="1:19" x14ac:dyDescent="0.25">
      <c r="A3" s="257"/>
      <c r="B3" s="258"/>
      <c r="C3" s="259" t="s">
        <v>187</v>
      </c>
      <c r="D3" s="260" t="s">
        <v>188</v>
      </c>
      <c r="E3" s="260">
        <v>231</v>
      </c>
      <c r="F3" s="261" t="s">
        <v>189</v>
      </c>
      <c r="G3" s="262"/>
      <c r="H3" s="259" t="s">
        <v>187</v>
      </c>
      <c r="I3" s="260" t="s">
        <v>188</v>
      </c>
      <c r="J3" s="260">
        <v>231</v>
      </c>
      <c r="K3" s="261" t="s">
        <v>189</v>
      </c>
      <c r="L3" s="259" t="s">
        <v>187</v>
      </c>
      <c r="M3" s="260" t="s">
        <v>188</v>
      </c>
      <c r="N3" s="260">
        <v>231</v>
      </c>
      <c r="O3" s="261" t="s">
        <v>189</v>
      </c>
      <c r="P3" s="259" t="s">
        <v>190</v>
      </c>
      <c r="Q3" s="260" t="s">
        <v>191</v>
      </c>
      <c r="R3" s="260">
        <v>231</v>
      </c>
      <c r="S3" s="261" t="s">
        <v>189</v>
      </c>
    </row>
    <row r="4" spans="1:19" x14ac:dyDescent="0.25">
      <c r="A4" s="263">
        <v>5</v>
      </c>
      <c r="B4" s="264" t="s">
        <v>192</v>
      </c>
      <c r="C4" s="265">
        <v>32000</v>
      </c>
      <c r="D4" s="266">
        <v>23000</v>
      </c>
      <c r="E4" s="266">
        <v>15000</v>
      </c>
      <c r="F4" s="267">
        <f>SUM(C4:E4)</f>
        <v>70000</v>
      </c>
      <c r="G4" s="268"/>
      <c r="H4" s="265">
        <v>32000</v>
      </c>
      <c r="I4" s="266">
        <v>25000</v>
      </c>
      <c r="J4" s="266">
        <v>15000</v>
      </c>
      <c r="K4" s="267">
        <f>SUM(H4:J4)</f>
        <v>72000</v>
      </c>
      <c r="L4" s="265">
        <v>32000</v>
      </c>
      <c r="M4" s="266">
        <v>25000</v>
      </c>
      <c r="N4" s="266">
        <v>10000</v>
      </c>
      <c r="O4" s="267">
        <f>SUM(L4:N4)</f>
        <v>67000</v>
      </c>
      <c r="P4" s="265">
        <v>32000</v>
      </c>
      <c r="Q4" s="266">
        <v>25000</v>
      </c>
      <c r="R4" s="266">
        <v>13000</v>
      </c>
      <c r="S4" s="267">
        <f>SUM(P4:R4)</f>
        <v>70000</v>
      </c>
    </row>
    <row r="8" spans="1:19" x14ac:dyDescent="0.25">
      <c r="B8">
        <v>31750</v>
      </c>
    </row>
    <row r="9" spans="1:19" ht="15.75" thickBot="1" x14ac:dyDescent="0.3">
      <c r="B9">
        <f>28260/31750</f>
        <v>0.89007874015748034</v>
      </c>
    </row>
    <row r="10" spans="1:19" x14ac:dyDescent="0.25">
      <c r="C10" s="269"/>
      <c r="D10" s="270" t="s">
        <v>193</v>
      </c>
      <c r="E10" s="270">
        <v>230</v>
      </c>
      <c r="F10" s="271"/>
      <c r="G10" s="270"/>
      <c r="H10" s="269"/>
      <c r="I10" s="270" t="s">
        <v>193</v>
      </c>
      <c r="J10" s="270">
        <v>230</v>
      </c>
      <c r="K10" s="271"/>
      <c r="L10" s="269"/>
      <c r="M10" s="270" t="s">
        <v>193</v>
      </c>
      <c r="N10" s="270">
        <v>230</v>
      </c>
      <c r="O10" s="271"/>
      <c r="P10" s="270" t="s">
        <v>193</v>
      </c>
      <c r="Q10" s="270">
        <v>230</v>
      </c>
      <c r="R10" s="270"/>
      <c r="S10" s="271"/>
    </row>
    <row r="11" spans="1:19" x14ac:dyDescent="0.25">
      <c r="C11" s="272"/>
      <c r="D11" s="273" t="s">
        <v>194</v>
      </c>
      <c r="E11" s="273">
        <v>12</v>
      </c>
      <c r="F11" s="274"/>
      <c r="G11" s="273"/>
      <c r="H11" s="272"/>
      <c r="I11" s="273" t="s">
        <v>194</v>
      </c>
      <c r="J11" s="273">
        <v>12</v>
      </c>
      <c r="K11" s="274"/>
      <c r="L11" s="272"/>
      <c r="M11" s="273" t="s">
        <v>194</v>
      </c>
      <c r="N11" s="273">
        <v>12</v>
      </c>
      <c r="O11" s="274"/>
      <c r="P11" s="273" t="s">
        <v>194</v>
      </c>
      <c r="Q11" s="273">
        <v>16</v>
      </c>
      <c r="R11" s="273"/>
      <c r="S11" s="274"/>
    </row>
    <row r="12" spans="1:19" x14ac:dyDescent="0.25">
      <c r="C12" s="272"/>
      <c r="D12" s="273" t="s">
        <v>195</v>
      </c>
      <c r="E12" s="273">
        <v>48</v>
      </c>
      <c r="F12" s="274"/>
      <c r="G12" s="273"/>
      <c r="H12" s="272"/>
      <c r="I12" s="273" t="s">
        <v>195</v>
      </c>
      <c r="J12" s="273">
        <v>48</v>
      </c>
      <c r="K12" s="274"/>
      <c r="L12" s="272"/>
      <c r="M12" s="273" t="s">
        <v>195</v>
      </c>
      <c r="N12" s="273">
        <v>48</v>
      </c>
      <c r="O12" s="274"/>
      <c r="P12" s="273" t="s">
        <v>195</v>
      </c>
      <c r="Q12" s="273">
        <v>48</v>
      </c>
      <c r="R12" s="273"/>
      <c r="S12" s="274"/>
    </row>
    <row r="13" spans="1:19" x14ac:dyDescent="0.25">
      <c r="C13" s="272"/>
      <c r="D13" s="273"/>
      <c r="E13" s="273"/>
      <c r="F13" s="274"/>
      <c r="G13" s="273"/>
      <c r="H13" s="272"/>
      <c r="I13" s="273"/>
      <c r="J13" s="273"/>
      <c r="K13" s="274"/>
      <c r="L13" s="272"/>
      <c r="M13" s="273"/>
      <c r="N13" s="273"/>
      <c r="O13" s="274"/>
      <c r="P13" s="273"/>
      <c r="Q13" s="273"/>
      <c r="R13" s="273"/>
      <c r="S13" s="274"/>
    </row>
    <row r="14" spans="1:19" ht="15.75" thickBot="1" x14ac:dyDescent="0.3">
      <c r="C14" s="275"/>
      <c r="D14" s="276" t="s">
        <v>196</v>
      </c>
      <c r="E14" s="276">
        <f>SUM(E10:E13)</f>
        <v>290</v>
      </c>
      <c r="F14" s="277"/>
      <c r="G14" s="276"/>
      <c r="H14" s="275"/>
      <c r="I14" s="276" t="s">
        <v>196</v>
      </c>
      <c r="J14" s="276">
        <f>SUM(J10:J13)</f>
        <v>290</v>
      </c>
      <c r="K14" s="277"/>
      <c r="L14" s="275"/>
      <c r="M14" s="276" t="s">
        <v>196</v>
      </c>
      <c r="N14" s="276">
        <f>SUM(N10:N13)</f>
        <v>290</v>
      </c>
      <c r="O14" s="277"/>
      <c r="P14" s="276" t="s">
        <v>196</v>
      </c>
      <c r="Q14" s="276">
        <f>SUM(Q10:Q13)</f>
        <v>294</v>
      </c>
      <c r="R14" s="276"/>
      <c r="S14" s="277"/>
    </row>
    <row r="15" spans="1:19" ht="15.75" thickBot="1" x14ac:dyDescent="0.3">
      <c r="C15" s="278"/>
      <c r="D15" s="279">
        <v>2017</v>
      </c>
      <c r="E15" s="279"/>
      <c r="F15" s="280"/>
      <c r="G15" s="279"/>
      <c r="H15" s="278"/>
      <c r="I15" s="279">
        <v>2018</v>
      </c>
      <c r="J15" s="279"/>
      <c r="K15" s="280"/>
      <c r="L15" s="278"/>
      <c r="M15" s="279">
        <v>2019</v>
      </c>
      <c r="N15" s="279"/>
      <c r="O15" s="280"/>
      <c r="P15" s="278"/>
      <c r="Q15" s="279">
        <v>2020</v>
      </c>
      <c r="R15" s="279"/>
      <c r="S15" s="280"/>
    </row>
    <row r="16" spans="1:19" s="7" customFormat="1" x14ac:dyDescent="0.25">
      <c r="C16" s="281">
        <v>600</v>
      </c>
      <c r="D16" s="282">
        <v>601</v>
      </c>
      <c r="E16" s="282">
        <v>602</v>
      </c>
      <c r="F16" s="283">
        <v>231</v>
      </c>
      <c r="G16" s="284"/>
      <c r="H16" s="281">
        <v>600</v>
      </c>
      <c r="I16" s="282">
        <v>601</v>
      </c>
      <c r="J16" s="282">
        <v>602</v>
      </c>
      <c r="K16" s="283">
        <v>231</v>
      </c>
      <c r="L16" s="281">
        <v>600</v>
      </c>
      <c r="M16" s="282">
        <v>601</v>
      </c>
      <c r="N16" s="282">
        <v>602</v>
      </c>
      <c r="O16" s="283">
        <v>231</v>
      </c>
      <c r="P16" s="281">
        <v>600</v>
      </c>
      <c r="Q16" s="282">
        <v>601</v>
      </c>
      <c r="R16" s="282">
        <v>602</v>
      </c>
      <c r="S16" s="283">
        <v>231</v>
      </c>
    </row>
    <row r="17" spans="2:25" s="285" customFormat="1" x14ac:dyDescent="0.25">
      <c r="C17" s="286">
        <v>27159000</v>
      </c>
      <c r="D17" s="287">
        <v>4841000</v>
      </c>
      <c r="E17" s="287">
        <v>23000000</v>
      </c>
      <c r="F17" s="288">
        <v>28000000</v>
      </c>
      <c r="G17" s="289"/>
      <c r="H17" s="286">
        <v>27421000</v>
      </c>
      <c r="I17" s="287">
        <f>H4*1000-H17</f>
        <v>4579000</v>
      </c>
      <c r="J17" s="287">
        <v>25000000</v>
      </c>
      <c r="K17" s="288">
        <v>15000000</v>
      </c>
      <c r="L17" s="286">
        <v>27421000</v>
      </c>
      <c r="M17" s="287">
        <f>L4*1000-L17</f>
        <v>4579000</v>
      </c>
      <c r="N17" s="287">
        <v>25000000</v>
      </c>
      <c r="O17" s="288">
        <v>10000000</v>
      </c>
      <c r="P17" s="286">
        <v>27421000</v>
      </c>
      <c r="Q17" s="287">
        <f>P4*1000-P17</f>
        <v>4579000</v>
      </c>
      <c r="R17" s="287">
        <v>25000000</v>
      </c>
      <c r="S17" s="288">
        <v>13000000</v>
      </c>
    </row>
    <row r="18" spans="2:25" s="285" customFormat="1" x14ac:dyDescent="0.25">
      <c r="B18" s="290" t="s">
        <v>197</v>
      </c>
      <c r="C18" s="286"/>
      <c r="D18" s="287"/>
      <c r="E18" s="287"/>
      <c r="F18" s="288"/>
      <c r="G18" s="289"/>
      <c r="H18" s="286"/>
      <c r="I18" s="287"/>
      <c r="J18" s="287"/>
      <c r="K18" s="288"/>
      <c r="L18" s="286"/>
      <c r="M18" s="287"/>
      <c r="N18" s="287"/>
      <c r="O18" s="288"/>
      <c r="P18" s="286"/>
      <c r="Q18" s="287"/>
      <c r="R18" s="287"/>
      <c r="S18" s="288"/>
    </row>
    <row r="19" spans="2:25" x14ac:dyDescent="0.25">
      <c r="B19" s="291" t="s">
        <v>198</v>
      </c>
      <c r="C19" s="292">
        <f>C17*L59/100</f>
        <v>4318281</v>
      </c>
      <c r="D19" s="293">
        <f>D17*M59/100</f>
        <v>769719</v>
      </c>
      <c r="E19" s="293">
        <f>E17*N59/100</f>
        <v>3151000</v>
      </c>
      <c r="F19" s="294">
        <f>C19+D19+E19</f>
        <v>8239000</v>
      </c>
      <c r="G19" s="329"/>
      <c r="H19" s="292">
        <f>H17*L59/100</f>
        <v>4359939</v>
      </c>
      <c r="I19" s="293">
        <f>I17*M59/100</f>
        <v>728061</v>
      </c>
      <c r="J19" s="293">
        <f>J17*N59/100</f>
        <v>3425000</v>
      </c>
      <c r="K19" s="295"/>
      <c r="L19" s="292">
        <v>4359939</v>
      </c>
      <c r="M19" s="293">
        <v>728061</v>
      </c>
      <c r="N19" s="293">
        <v>3425000</v>
      </c>
      <c r="O19" s="295"/>
      <c r="P19" s="292">
        <v>4359939</v>
      </c>
      <c r="Q19" s="293">
        <v>728061</v>
      </c>
      <c r="R19" s="293">
        <v>3425000</v>
      </c>
      <c r="S19" s="295"/>
    </row>
    <row r="20" spans="2:25" x14ac:dyDescent="0.25">
      <c r="B20" s="291" t="s">
        <v>199</v>
      </c>
      <c r="C20" s="292">
        <f>C17*L60/100</f>
        <v>6491001</v>
      </c>
      <c r="D20" s="293">
        <f>D17*M60/100</f>
        <v>1156999</v>
      </c>
      <c r="E20" s="293">
        <f>E17*N60/100</f>
        <v>12420000</v>
      </c>
      <c r="F20" s="294">
        <f t="shared" ref="F20:F26" si="0">C20+D20+E20</f>
        <v>20068000</v>
      </c>
      <c r="G20" s="329"/>
      <c r="H20" s="292">
        <f>H17*L60/100</f>
        <v>6553619</v>
      </c>
      <c r="I20" s="293">
        <f>I17*M60/100</f>
        <v>1094381</v>
      </c>
      <c r="J20" s="293">
        <f>J17*N60/100</f>
        <v>13500000</v>
      </c>
      <c r="K20" s="295"/>
      <c r="L20" s="292">
        <v>6553619</v>
      </c>
      <c r="M20" s="293">
        <v>1094381</v>
      </c>
      <c r="N20" s="293">
        <v>13500000</v>
      </c>
      <c r="O20" s="295"/>
      <c r="P20" s="292">
        <v>6553619</v>
      </c>
      <c r="Q20" s="293">
        <v>1094381</v>
      </c>
      <c r="R20" s="293">
        <v>13500000</v>
      </c>
      <c r="S20" s="295"/>
    </row>
    <row r="21" spans="2:25" x14ac:dyDescent="0.25">
      <c r="B21" s="290" t="s">
        <v>200</v>
      </c>
      <c r="D21" s="293"/>
      <c r="E21" s="293"/>
      <c r="F21" s="294">
        <f t="shared" si="0"/>
        <v>0</v>
      </c>
      <c r="G21" s="330"/>
      <c r="I21" s="293"/>
      <c r="J21" s="293"/>
      <c r="K21" s="295"/>
      <c r="M21" s="293"/>
      <c r="N21" s="293"/>
      <c r="O21" s="295"/>
      <c r="P21" s="292"/>
      <c r="Q21" s="293"/>
      <c r="R21" s="293"/>
      <c r="S21" s="295"/>
    </row>
    <row r="22" spans="2:25" x14ac:dyDescent="0.25">
      <c r="B22" s="291" t="s">
        <v>199</v>
      </c>
      <c r="C22" s="292">
        <f>L61/100*C17</f>
        <v>4481235</v>
      </c>
      <c r="D22" s="293">
        <f>D17*M61/100</f>
        <v>798765</v>
      </c>
      <c r="E22" s="293">
        <f>E17*N61/100</f>
        <v>4370000</v>
      </c>
      <c r="F22" s="294">
        <f t="shared" si="0"/>
        <v>9650000</v>
      </c>
      <c r="G22" s="329"/>
      <c r="H22" s="292">
        <f>H17*L61/100</f>
        <v>4524465</v>
      </c>
      <c r="I22" s="293">
        <f>I17*M61/100</f>
        <v>755535</v>
      </c>
      <c r="J22" s="293">
        <f>J17*N61/100</f>
        <v>4750000</v>
      </c>
      <c r="K22" s="295"/>
      <c r="L22" s="292">
        <v>4524465</v>
      </c>
      <c r="M22" s="293">
        <v>755535</v>
      </c>
      <c r="N22" s="293">
        <v>4750000</v>
      </c>
      <c r="O22" s="295"/>
      <c r="P22" s="292">
        <v>4524465</v>
      </c>
      <c r="Q22" s="293">
        <v>755535</v>
      </c>
      <c r="R22" s="293">
        <v>4750000</v>
      </c>
      <c r="S22" s="295"/>
      <c r="Y22">
        <f>32000000/1.167</f>
        <v>27420736.932305057</v>
      </c>
    </row>
    <row r="23" spans="2:25" x14ac:dyDescent="0.25">
      <c r="B23" s="297"/>
      <c r="C23" s="292"/>
      <c r="D23" s="293"/>
      <c r="E23" s="293"/>
      <c r="F23" s="294">
        <f t="shared" si="0"/>
        <v>0</v>
      </c>
      <c r="G23" s="329"/>
      <c r="H23" s="292"/>
      <c r="I23" s="293"/>
      <c r="J23" s="293"/>
      <c r="K23" s="295"/>
      <c r="L23" s="292"/>
      <c r="M23" s="293"/>
      <c r="N23" s="293"/>
      <c r="O23" s="295"/>
      <c r="P23" s="292"/>
      <c r="Q23" s="293"/>
      <c r="R23" s="293"/>
      <c r="S23" s="295"/>
    </row>
    <row r="24" spans="2:25" x14ac:dyDescent="0.25">
      <c r="B24" s="290" t="s">
        <v>201</v>
      </c>
      <c r="C24" s="292"/>
      <c r="D24" s="293"/>
      <c r="E24" s="293"/>
      <c r="F24" s="294">
        <f t="shared" si="0"/>
        <v>0</v>
      </c>
      <c r="G24" s="329"/>
      <c r="H24" s="292"/>
      <c r="I24" s="293"/>
      <c r="J24" s="293"/>
      <c r="K24" s="295"/>
      <c r="L24" s="292"/>
      <c r="M24" s="293"/>
      <c r="N24" s="293"/>
      <c r="O24" s="295"/>
      <c r="P24" s="292"/>
      <c r="Q24" s="293"/>
      <c r="R24" s="293"/>
      <c r="S24" s="295"/>
      <c r="Y24">
        <f>Y22*16.7/100</f>
        <v>4579263.0676949443</v>
      </c>
    </row>
    <row r="25" spans="2:25" x14ac:dyDescent="0.25">
      <c r="B25" s="291" t="s">
        <v>199</v>
      </c>
      <c r="C25" s="292">
        <f>L62/100*C17</f>
        <v>5160210</v>
      </c>
      <c r="D25" s="293">
        <f>D17*M62/100</f>
        <v>919790</v>
      </c>
      <c r="E25" s="293">
        <f>E17*N62/100</f>
        <v>2438000</v>
      </c>
      <c r="F25" s="294">
        <f t="shared" si="0"/>
        <v>8518000</v>
      </c>
      <c r="G25" s="329"/>
      <c r="H25" s="292">
        <f>H17*L62/100</f>
        <v>5209990</v>
      </c>
      <c r="I25" s="293">
        <f>I17*M62/100</f>
        <v>870010</v>
      </c>
      <c r="J25" s="293">
        <f>J17*N62/100</f>
        <v>2650000</v>
      </c>
      <c r="K25" s="295"/>
      <c r="L25" s="292">
        <v>5209990</v>
      </c>
      <c r="M25" s="293">
        <v>870010</v>
      </c>
      <c r="N25" s="293">
        <v>2650000</v>
      </c>
      <c r="O25" s="295"/>
      <c r="P25" s="292">
        <v>5209990</v>
      </c>
      <c r="Q25" s="293">
        <v>870010</v>
      </c>
      <c r="R25" s="293">
        <v>2650000</v>
      </c>
      <c r="S25" s="295"/>
    </row>
    <row r="26" spans="2:25" x14ac:dyDescent="0.25">
      <c r="B26" s="290" t="s">
        <v>202</v>
      </c>
      <c r="C26" s="292">
        <f>C17*L64/100</f>
        <v>6708273</v>
      </c>
      <c r="D26" s="293">
        <f>D17*M64/100</f>
        <v>1195727</v>
      </c>
      <c r="E26" s="293">
        <f>E17*N64/100</f>
        <v>621000.00000000012</v>
      </c>
      <c r="F26" s="294">
        <f t="shared" si="0"/>
        <v>8525000</v>
      </c>
      <c r="G26" s="329"/>
      <c r="H26" s="292">
        <f>L64*H17/100</f>
        <v>6772987</v>
      </c>
      <c r="I26" s="293">
        <f>I17*M64/100</f>
        <v>1131013</v>
      </c>
      <c r="J26" s="293">
        <f>J17*N64/100</f>
        <v>675000</v>
      </c>
      <c r="K26" s="295"/>
      <c r="L26" s="292">
        <v>6772987</v>
      </c>
      <c r="M26" s="293">
        <v>1131013</v>
      </c>
      <c r="N26" s="293">
        <v>675000</v>
      </c>
      <c r="O26" s="295"/>
      <c r="P26" s="292">
        <v>6772987</v>
      </c>
      <c r="Q26" s="293">
        <v>1131013</v>
      </c>
      <c r="R26" s="293">
        <v>675000</v>
      </c>
      <c r="S26" s="295"/>
    </row>
    <row r="27" spans="2:25" x14ac:dyDescent="0.25">
      <c r="B27" s="298" t="s">
        <v>203</v>
      </c>
      <c r="C27" s="292"/>
      <c r="D27" s="293"/>
      <c r="E27" s="293"/>
      <c r="F27" s="295">
        <v>28000000</v>
      </c>
      <c r="G27" s="296"/>
      <c r="H27" s="292"/>
      <c r="I27" s="293"/>
      <c r="J27" s="293"/>
      <c r="K27" s="295">
        <v>13000000</v>
      </c>
      <c r="L27" s="292"/>
      <c r="M27" s="293"/>
      <c r="N27" s="293"/>
      <c r="O27" s="295">
        <v>10000000</v>
      </c>
      <c r="P27" s="292"/>
      <c r="Q27" s="293"/>
      <c r="R27" s="293"/>
      <c r="S27" s="295"/>
    </row>
    <row r="28" spans="2:25" x14ac:dyDescent="0.25">
      <c r="B28" s="298" t="s">
        <v>204</v>
      </c>
      <c r="C28" s="299"/>
      <c r="D28" s="300"/>
      <c r="E28" s="300"/>
      <c r="F28" s="301"/>
      <c r="G28" s="302"/>
      <c r="H28" s="299"/>
      <c r="I28" s="300"/>
      <c r="J28" s="300"/>
      <c r="K28" s="301">
        <v>1000000</v>
      </c>
      <c r="L28" s="299"/>
      <c r="M28" s="300"/>
      <c r="N28" s="300"/>
      <c r="O28" s="301"/>
      <c r="P28" s="299"/>
      <c r="Q28" s="300"/>
      <c r="R28" s="300"/>
      <c r="S28" s="301"/>
    </row>
    <row r="29" spans="2:25" x14ac:dyDescent="0.25">
      <c r="B29" s="298" t="s">
        <v>205</v>
      </c>
      <c r="C29" s="299"/>
      <c r="D29" s="300"/>
      <c r="E29" s="300"/>
      <c r="F29" s="301"/>
      <c r="G29" s="302"/>
      <c r="H29" s="299"/>
      <c r="I29" s="300"/>
      <c r="J29" s="300"/>
      <c r="K29" s="301">
        <v>1000000</v>
      </c>
      <c r="L29" s="299"/>
      <c r="M29" s="300"/>
      <c r="N29" s="300"/>
      <c r="O29" s="301"/>
      <c r="P29" s="299"/>
      <c r="Q29" s="300"/>
      <c r="R29" s="300"/>
      <c r="S29" s="301"/>
    </row>
    <row r="30" spans="2:25" x14ac:dyDescent="0.25">
      <c r="B30" s="298" t="s">
        <v>206</v>
      </c>
      <c r="C30" s="299"/>
      <c r="D30" s="300"/>
      <c r="E30" s="300"/>
      <c r="F30" s="301"/>
      <c r="G30" s="302"/>
      <c r="H30" s="299"/>
      <c r="I30" s="300"/>
      <c r="J30" s="300"/>
      <c r="K30" s="301"/>
      <c r="L30" s="299"/>
      <c r="M30" s="300"/>
      <c r="N30" s="300"/>
      <c r="O30" s="301"/>
      <c r="P30" s="299"/>
      <c r="Q30" s="300"/>
      <c r="R30" s="300"/>
      <c r="S30" s="301">
        <v>13000000</v>
      </c>
    </row>
    <row r="31" spans="2:25" ht="15.75" thickBot="1" x14ac:dyDescent="0.3">
      <c r="B31" s="298"/>
      <c r="C31" s="303">
        <f t="shared" ref="C31:E31" si="1">SUM(C19:C27)</f>
        <v>27159000</v>
      </c>
      <c r="D31" s="304">
        <f t="shared" si="1"/>
        <v>4841000</v>
      </c>
      <c r="E31" s="304">
        <f t="shared" si="1"/>
        <v>23000000</v>
      </c>
      <c r="F31" s="305">
        <f>SUM(F19:F30)</f>
        <v>83000000</v>
      </c>
      <c r="G31" s="331"/>
      <c r="H31" s="303">
        <f t="shared" ref="H31:J31" si="2">SUM(H19:H27)</f>
        <v>27421000</v>
      </c>
      <c r="I31" s="304">
        <f t="shared" si="2"/>
        <v>4579000</v>
      </c>
      <c r="J31" s="304">
        <f t="shared" si="2"/>
        <v>25000000</v>
      </c>
      <c r="K31" s="305">
        <f>SUM(K19:K30)</f>
        <v>15000000</v>
      </c>
      <c r="L31" s="305">
        <f t="shared" ref="L31:S31" si="3">SUM(L19:L30)</f>
        <v>27421000</v>
      </c>
      <c r="M31" s="305">
        <f t="shared" si="3"/>
        <v>4579000</v>
      </c>
      <c r="N31" s="305">
        <f t="shared" si="3"/>
        <v>25000000</v>
      </c>
      <c r="O31" s="305">
        <f t="shared" si="3"/>
        <v>10000000</v>
      </c>
      <c r="P31" s="305">
        <f t="shared" si="3"/>
        <v>27421000</v>
      </c>
      <c r="Q31" s="305">
        <f t="shared" si="3"/>
        <v>4579000</v>
      </c>
      <c r="R31" s="305">
        <f t="shared" si="3"/>
        <v>25000000</v>
      </c>
      <c r="S31" s="305">
        <f t="shared" si="3"/>
        <v>13000000</v>
      </c>
    </row>
    <row r="33" spans="2:22" x14ac:dyDescent="0.25">
      <c r="H33" s="306">
        <f>H31-H17</f>
        <v>0</v>
      </c>
      <c r="I33" s="306">
        <f>I31-I17</f>
        <v>0</v>
      </c>
      <c r="J33" s="306">
        <f>J31-J17</f>
        <v>0</v>
      </c>
      <c r="K33" s="306">
        <f>K31-K17</f>
        <v>0</v>
      </c>
      <c r="L33" s="306">
        <f t="shared" ref="L33:S33" si="4">L31-L17</f>
        <v>0</v>
      </c>
      <c r="M33" s="306">
        <f t="shared" si="4"/>
        <v>0</v>
      </c>
      <c r="N33" s="306">
        <f t="shared" si="4"/>
        <v>0</v>
      </c>
      <c r="O33" s="306">
        <f t="shared" si="4"/>
        <v>0</v>
      </c>
      <c r="P33" s="306">
        <f t="shared" si="4"/>
        <v>0</v>
      </c>
      <c r="Q33" s="306">
        <f t="shared" si="4"/>
        <v>0</v>
      </c>
      <c r="R33" s="306">
        <f t="shared" si="4"/>
        <v>0</v>
      </c>
      <c r="S33" s="306">
        <f t="shared" si="4"/>
        <v>0</v>
      </c>
    </row>
    <row r="34" spans="2:22" ht="15.75" thickBot="1" x14ac:dyDescent="0.3">
      <c r="K34" s="306">
        <f>H31+I31+J31+K31</f>
        <v>72000000</v>
      </c>
      <c r="O34" s="306">
        <f>L31+M31+N31+O31</f>
        <v>67000000</v>
      </c>
      <c r="S34" s="306">
        <f>P31+Q31+R31+S31</f>
        <v>70000000</v>
      </c>
    </row>
    <row r="35" spans="2:22" x14ac:dyDescent="0.25">
      <c r="B35" s="269"/>
      <c r="C35" s="270"/>
      <c r="D35" s="270"/>
      <c r="E35" s="270"/>
      <c r="F35" s="270"/>
      <c r="G35" s="270"/>
      <c r="H35" s="270"/>
      <c r="I35" s="270"/>
      <c r="J35" s="270"/>
      <c r="K35" s="307">
        <f>K34/1000-K4</f>
        <v>0</v>
      </c>
      <c r="L35" s="270"/>
      <c r="M35" s="270"/>
      <c r="N35" s="271"/>
      <c r="O35" s="308">
        <f>O34/1000-O4</f>
        <v>0</v>
      </c>
      <c r="S35" s="308">
        <f>S34/1000-S4</f>
        <v>0</v>
      </c>
    </row>
    <row r="36" spans="2:22" x14ac:dyDescent="0.25">
      <c r="B36" s="272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4"/>
    </row>
    <row r="37" spans="2:22" x14ac:dyDescent="0.25">
      <c r="B37" s="272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4"/>
      <c r="U37">
        <v>11894323</v>
      </c>
    </row>
    <row r="38" spans="2:22" x14ac:dyDescent="0.25">
      <c r="B38" s="272"/>
      <c r="C38" s="273"/>
      <c r="D38" s="273"/>
      <c r="E38" s="273"/>
      <c r="F38" s="273"/>
      <c r="G38" s="273"/>
      <c r="H38" s="309"/>
      <c r="I38" s="309" t="s">
        <v>207</v>
      </c>
      <c r="J38" s="309"/>
      <c r="K38" s="309" t="s">
        <v>208</v>
      </c>
      <c r="L38" s="309"/>
      <c r="M38" s="309" t="s">
        <v>209</v>
      </c>
      <c r="N38" s="310"/>
      <c r="O38" s="311" t="s">
        <v>210</v>
      </c>
      <c r="P38" s="309"/>
      <c r="Q38" s="309" t="s">
        <v>211</v>
      </c>
      <c r="R38" s="309"/>
    </row>
    <row r="39" spans="2:22" x14ac:dyDescent="0.25">
      <c r="B39" s="272"/>
      <c r="C39" s="273"/>
      <c r="D39" s="273"/>
      <c r="E39" s="273"/>
      <c r="F39" s="273"/>
      <c r="G39" s="273"/>
      <c r="H39" s="309" t="s">
        <v>193</v>
      </c>
      <c r="I39" s="309">
        <v>60</v>
      </c>
      <c r="J39" s="293">
        <f>(H48+H49)/E10*I39</f>
        <v>7384434.7826086953</v>
      </c>
      <c r="K39" s="309">
        <v>57</v>
      </c>
      <c r="L39" s="293">
        <f>(H48+H49)/E10*K39</f>
        <v>7015213.0434782607</v>
      </c>
      <c r="M39" s="309">
        <v>57</v>
      </c>
      <c r="N39" s="295">
        <f>(H48+H49)/E10*M39</f>
        <v>7015213.0434782607</v>
      </c>
      <c r="O39" s="311">
        <v>56</v>
      </c>
      <c r="P39" s="293">
        <f>(H48+H49)/E10*O39</f>
        <v>6892139.1304347822</v>
      </c>
      <c r="Q39" s="309">
        <f t="shared" ref="Q39:R42" si="5">I39+K39+M39+O39</f>
        <v>230</v>
      </c>
      <c r="R39" s="293">
        <f t="shared" si="5"/>
        <v>28307000</v>
      </c>
      <c r="T39">
        <f>R39/R44*100</f>
        <v>51.467272727272729</v>
      </c>
      <c r="V39">
        <f>T39*U37/100</f>
        <v>6121683.6574727269</v>
      </c>
    </row>
    <row r="40" spans="2:22" x14ac:dyDescent="0.25">
      <c r="B40" s="272"/>
      <c r="C40" s="273"/>
      <c r="D40" s="273"/>
      <c r="E40" s="273"/>
      <c r="F40" s="273"/>
      <c r="G40" s="273"/>
      <c r="H40" s="309" t="s">
        <v>212</v>
      </c>
      <c r="I40" s="309">
        <v>1</v>
      </c>
      <c r="J40" s="293">
        <f>H50/E11*I40</f>
        <v>804166.66666666663</v>
      </c>
      <c r="K40" s="309">
        <v>4</v>
      </c>
      <c r="L40" s="293">
        <f>H50/E11*K40</f>
        <v>3216666.6666666665</v>
      </c>
      <c r="M40" s="309">
        <v>4</v>
      </c>
      <c r="N40" s="295">
        <f>H50/E11*M40</f>
        <v>3216666.6666666665</v>
      </c>
      <c r="O40" s="311">
        <v>3</v>
      </c>
      <c r="P40" s="293">
        <f>H50/E11*O40</f>
        <v>2412500</v>
      </c>
      <c r="Q40" s="309">
        <f t="shared" si="5"/>
        <v>12</v>
      </c>
      <c r="R40" s="293">
        <f t="shared" si="5"/>
        <v>9650000</v>
      </c>
      <c r="T40">
        <f>R40/R44*100</f>
        <v>17.545454545454543</v>
      </c>
      <c r="V40">
        <f>U37*T40/100</f>
        <v>2086913.0354545454</v>
      </c>
    </row>
    <row r="41" spans="2:22" x14ac:dyDescent="0.25">
      <c r="B41" s="272"/>
      <c r="C41" s="273"/>
      <c r="D41" s="273"/>
      <c r="E41" s="273"/>
      <c r="F41" s="273"/>
      <c r="G41" s="273"/>
      <c r="H41" t="s">
        <v>225</v>
      </c>
      <c r="I41">
        <v>12</v>
      </c>
      <c r="J41">
        <f>H52/E12*I41</f>
        <v>2129500</v>
      </c>
      <c r="K41">
        <v>12</v>
      </c>
      <c r="L41">
        <f>H52/E12*K41</f>
        <v>2129500</v>
      </c>
      <c r="M41">
        <v>12</v>
      </c>
      <c r="N41">
        <f>H52/E12*M41</f>
        <v>2129500</v>
      </c>
      <c r="O41">
        <v>12</v>
      </c>
      <c r="P41">
        <f>H52/E12*O41</f>
        <v>2129500</v>
      </c>
      <c r="Q41" s="309">
        <f t="shared" si="5"/>
        <v>48</v>
      </c>
      <c r="R41" s="293">
        <f t="shared" si="5"/>
        <v>8518000</v>
      </c>
      <c r="T41">
        <f>R41/R44*100</f>
        <v>15.487272727272728</v>
      </c>
      <c r="V41">
        <f>U37*T41/100</f>
        <v>1842106.2420727273</v>
      </c>
    </row>
    <row r="42" spans="2:22" x14ac:dyDescent="0.25">
      <c r="B42" s="272"/>
      <c r="C42" s="273"/>
      <c r="D42" s="273"/>
      <c r="E42" s="273"/>
      <c r="F42" s="273"/>
      <c r="G42" s="273"/>
      <c r="H42" s="309" t="s">
        <v>196</v>
      </c>
      <c r="I42" s="309">
        <f>SUM(I39:I41)</f>
        <v>73</v>
      </c>
      <c r="J42" s="293">
        <f>H51/E14*I42</f>
        <v>2145948.2758620689</v>
      </c>
      <c r="K42" s="309">
        <v>73</v>
      </c>
      <c r="L42" s="293">
        <f>H51/E14*K42</f>
        <v>2145948.2758620689</v>
      </c>
      <c r="M42" s="309">
        <v>73</v>
      </c>
      <c r="N42" s="295">
        <f>H51/E14*M42</f>
        <v>2145948.2758620689</v>
      </c>
      <c r="O42" s="311">
        <v>71</v>
      </c>
      <c r="P42" s="293">
        <f>H51/E14*O42</f>
        <v>2087155.1724137932</v>
      </c>
      <c r="Q42" s="309">
        <f t="shared" si="5"/>
        <v>290</v>
      </c>
      <c r="R42" s="293">
        <f t="shared" si="5"/>
        <v>8525000</v>
      </c>
      <c r="T42">
        <f>R42/R44*100</f>
        <v>15.5</v>
      </c>
      <c r="V42">
        <f>U37*T42/100</f>
        <v>1843620.0649999999</v>
      </c>
    </row>
    <row r="43" spans="2:22" x14ac:dyDescent="0.25">
      <c r="B43" s="312"/>
      <c r="C43" s="313"/>
      <c r="D43" s="313"/>
      <c r="E43" s="313"/>
      <c r="F43" s="313"/>
      <c r="G43" s="313"/>
      <c r="H43" s="273"/>
      <c r="I43" s="273"/>
      <c r="J43" s="273">
        <v>5199000</v>
      </c>
      <c r="K43" s="273"/>
      <c r="L43" s="273"/>
      <c r="M43" s="273"/>
      <c r="N43" s="274"/>
      <c r="V43">
        <f>SUM(V39:V42)</f>
        <v>11894322.999999998</v>
      </c>
    </row>
    <row r="44" spans="2:22" x14ac:dyDescent="0.25">
      <c r="B44" s="312"/>
      <c r="C44" s="313"/>
      <c r="D44" s="313"/>
      <c r="E44" s="313"/>
      <c r="F44" s="313"/>
      <c r="G44" s="313"/>
      <c r="H44" s="320" t="s">
        <v>211</v>
      </c>
      <c r="I44" s="273"/>
      <c r="J44" s="317">
        <f>SUM(J39:J43)</f>
        <v>17663049.725137431</v>
      </c>
      <c r="K44" s="317">
        <f t="shared" ref="K44:R44" si="6">SUM(K39:K43)</f>
        <v>146</v>
      </c>
      <c r="L44" s="317">
        <f t="shared" si="6"/>
        <v>14507327.986006998</v>
      </c>
      <c r="M44" s="317">
        <f t="shared" si="6"/>
        <v>146</v>
      </c>
      <c r="N44" s="317">
        <f t="shared" si="6"/>
        <v>14507327.986006998</v>
      </c>
      <c r="O44" s="317">
        <f t="shared" si="6"/>
        <v>142</v>
      </c>
      <c r="P44" s="317">
        <f t="shared" si="6"/>
        <v>13521294.302848574</v>
      </c>
      <c r="Q44" s="317">
        <f t="shared" si="6"/>
        <v>580</v>
      </c>
      <c r="R44" s="317">
        <f t="shared" si="6"/>
        <v>55000000</v>
      </c>
    </row>
    <row r="45" spans="2:22" x14ac:dyDescent="0.25">
      <c r="B45" s="312"/>
      <c r="C45" s="313"/>
      <c r="D45" s="313"/>
      <c r="E45" s="313"/>
      <c r="F45" s="313"/>
      <c r="G45" s="313"/>
      <c r="H45" s="273"/>
      <c r="I45" s="273"/>
      <c r="J45" s="273"/>
      <c r="K45" s="273"/>
      <c r="L45" s="273"/>
      <c r="M45" s="273"/>
      <c r="N45" s="274"/>
    </row>
    <row r="46" spans="2:22" x14ac:dyDescent="0.25">
      <c r="B46" s="312"/>
      <c r="C46" s="313"/>
      <c r="D46" s="313"/>
      <c r="E46" s="313"/>
      <c r="F46" s="313"/>
      <c r="G46" s="313"/>
      <c r="H46" s="273"/>
      <c r="I46" s="273"/>
      <c r="J46" s="273"/>
      <c r="K46" s="273"/>
      <c r="L46" s="273"/>
      <c r="M46" s="273"/>
      <c r="N46" s="274"/>
    </row>
    <row r="47" spans="2:22" x14ac:dyDescent="0.25">
      <c r="B47" s="314"/>
      <c r="C47" s="315"/>
      <c r="D47" s="315"/>
      <c r="E47" s="315"/>
      <c r="F47" s="315"/>
      <c r="G47" s="315"/>
      <c r="H47" s="273"/>
      <c r="I47" s="273"/>
      <c r="J47" s="273"/>
      <c r="K47" s="273"/>
      <c r="L47" s="273"/>
      <c r="M47" s="273"/>
      <c r="N47" s="274"/>
    </row>
    <row r="48" spans="2:22" x14ac:dyDescent="0.25">
      <c r="B48" s="316" t="s">
        <v>198</v>
      </c>
      <c r="C48" s="273"/>
      <c r="D48" s="273"/>
      <c r="E48" s="273"/>
      <c r="F48" s="273"/>
      <c r="G48" s="273"/>
      <c r="H48" s="317">
        <f>C19+D19+E19</f>
        <v>8239000</v>
      </c>
      <c r="I48" s="273"/>
      <c r="J48" s="273"/>
      <c r="K48" s="273"/>
      <c r="L48" s="273"/>
      <c r="M48" s="273"/>
      <c r="N48" s="274"/>
    </row>
    <row r="49" spans="2:14" x14ac:dyDescent="0.25">
      <c r="B49" s="316" t="s">
        <v>199</v>
      </c>
      <c r="C49" s="273"/>
      <c r="D49" s="273"/>
      <c r="E49" s="273"/>
      <c r="F49" s="273"/>
      <c r="G49" s="273"/>
      <c r="H49" s="317">
        <f>C20+D20+E20</f>
        <v>20068000</v>
      </c>
      <c r="I49" s="273"/>
      <c r="J49" s="273"/>
      <c r="K49" s="273"/>
      <c r="L49" s="273"/>
      <c r="M49" s="273"/>
      <c r="N49" s="274"/>
    </row>
    <row r="50" spans="2:14" x14ac:dyDescent="0.25">
      <c r="B50" s="316" t="s">
        <v>213</v>
      </c>
      <c r="C50" s="273"/>
      <c r="D50" s="273"/>
      <c r="E50" s="273"/>
      <c r="F50" s="273"/>
      <c r="G50" s="273"/>
      <c r="H50" s="317">
        <f>F22</f>
        <v>9650000</v>
      </c>
      <c r="I50" s="273"/>
      <c r="J50" s="273"/>
      <c r="K50" s="273"/>
      <c r="L50" s="273"/>
      <c r="M50" s="273"/>
      <c r="N50" s="274"/>
    </row>
    <row r="51" spans="2:14" x14ac:dyDescent="0.25">
      <c r="B51" s="316" t="s">
        <v>214</v>
      </c>
      <c r="C51" s="273"/>
      <c r="D51" s="273"/>
      <c r="E51" s="273"/>
      <c r="F51" s="273"/>
      <c r="G51" s="273"/>
      <c r="H51" s="306">
        <f>F26</f>
        <v>8525000</v>
      </c>
      <c r="I51" s="273"/>
      <c r="J51" s="273"/>
      <c r="K51" s="273"/>
      <c r="L51" s="273"/>
      <c r="M51" s="273"/>
      <c r="N51" s="274"/>
    </row>
    <row r="52" spans="2:14" x14ac:dyDescent="0.25">
      <c r="B52" s="332" t="s">
        <v>219</v>
      </c>
      <c r="C52" s="273"/>
      <c r="D52" s="273"/>
      <c r="E52" s="273"/>
      <c r="F52" s="273"/>
      <c r="G52" s="273"/>
      <c r="H52" s="317">
        <f>F25</f>
        <v>8518000</v>
      </c>
      <c r="I52" s="273"/>
      <c r="J52" s="273"/>
      <c r="K52" s="273"/>
      <c r="L52" s="273"/>
      <c r="M52" s="273"/>
      <c r="N52" s="274"/>
    </row>
    <row r="53" spans="2:14" x14ac:dyDescent="0.25"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4"/>
    </row>
    <row r="54" spans="2:14" x14ac:dyDescent="0.25">
      <c r="B54" s="272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4"/>
    </row>
    <row r="55" spans="2:14" x14ac:dyDescent="0.25">
      <c r="B55" s="272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4"/>
    </row>
    <row r="56" spans="2:14" x14ac:dyDescent="0.25">
      <c r="B56" s="272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4"/>
    </row>
    <row r="57" spans="2:14" ht="15.75" thickBot="1" x14ac:dyDescent="0.3">
      <c r="B57" s="314" t="s">
        <v>215</v>
      </c>
      <c r="C57" s="315"/>
      <c r="D57" s="315"/>
      <c r="E57" s="315"/>
      <c r="F57" s="315"/>
      <c r="G57" s="315"/>
      <c r="H57" s="273"/>
      <c r="I57" s="273"/>
      <c r="J57" s="273"/>
      <c r="K57" s="273"/>
      <c r="L57" s="273"/>
      <c r="M57" s="273"/>
      <c r="N57" s="274"/>
    </row>
    <row r="58" spans="2:14" ht="15.75" thickBot="1" x14ac:dyDescent="0.3">
      <c r="B58" s="272"/>
      <c r="C58" s="273"/>
      <c r="D58" s="273"/>
      <c r="E58" s="273"/>
      <c r="F58" s="273"/>
      <c r="G58" s="273"/>
      <c r="H58" s="273"/>
      <c r="I58" s="273"/>
      <c r="J58" s="273"/>
      <c r="K58" s="273"/>
      <c r="L58" s="318">
        <v>600</v>
      </c>
      <c r="M58" s="318">
        <v>601</v>
      </c>
      <c r="N58" s="318">
        <v>602</v>
      </c>
    </row>
    <row r="59" spans="2:14" x14ac:dyDescent="0.25">
      <c r="B59" s="319" t="s">
        <v>216</v>
      </c>
      <c r="C59" s="297"/>
      <c r="D59" s="297"/>
      <c r="E59" s="297"/>
      <c r="F59" s="297"/>
      <c r="G59" s="297"/>
      <c r="H59" s="273"/>
      <c r="I59" s="273"/>
      <c r="J59" s="273"/>
      <c r="K59" s="273"/>
      <c r="L59" s="273">
        <v>15.9</v>
      </c>
      <c r="M59" s="273">
        <v>15.9</v>
      </c>
      <c r="N59" s="274">
        <v>13.7</v>
      </c>
    </row>
    <row r="60" spans="2:14" x14ac:dyDescent="0.25">
      <c r="B60" s="319" t="s">
        <v>217</v>
      </c>
      <c r="C60" s="297"/>
      <c r="D60" s="297"/>
      <c r="E60" s="297"/>
      <c r="F60" s="297"/>
      <c r="G60" s="297"/>
      <c r="H60" s="273"/>
      <c r="I60" s="273"/>
      <c r="J60" s="273"/>
      <c r="K60" s="273"/>
      <c r="L60" s="273">
        <v>23.9</v>
      </c>
      <c r="M60" s="273">
        <v>23.9</v>
      </c>
      <c r="N60" s="273">
        <v>54</v>
      </c>
    </row>
    <row r="61" spans="2:14" x14ac:dyDescent="0.25">
      <c r="B61" s="272" t="s">
        <v>218</v>
      </c>
      <c r="C61" s="273"/>
      <c r="D61" s="273"/>
      <c r="E61" s="273"/>
      <c r="F61" s="273"/>
      <c r="G61" s="273"/>
      <c r="H61" s="273"/>
      <c r="I61" s="273"/>
      <c r="J61" s="273"/>
      <c r="K61" s="273"/>
      <c r="L61" s="320">
        <v>16.5</v>
      </c>
      <c r="M61" s="320">
        <v>16.5</v>
      </c>
      <c r="N61" s="320">
        <v>19</v>
      </c>
    </row>
    <row r="62" spans="2:14" x14ac:dyDescent="0.25">
      <c r="B62" s="272" t="s">
        <v>219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>
        <v>19</v>
      </c>
      <c r="M62" s="273">
        <v>19</v>
      </c>
      <c r="N62" s="273">
        <v>10.6</v>
      </c>
    </row>
    <row r="63" spans="2:14" x14ac:dyDescent="0.25">
      <c r="B63" s="272"/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</row>
    <row r="64" spans="2:14" x14ac:dyDescent="0.25">
      <c r="B64" s="272" t="s">
        <v>220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>
        <v>24.7</v>
      </c>
      <c r="M64" s="273">
        <v>24.7</v>
      </c>
      <c r="N64" s="273">
        <v>2.7</v>
      </c>
    </row>
    <row r="65" spans="2:19" x14ac:dyDescent="0.25">
      <c r="B65" s="272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4"/>
    </row>
    <row r="66" spans="2:19" ht="15.75" thickBot="1" x14ac:dyDescent="0.3">
      <c r="B66" s="275"/>
      <c r="C66" s="276"/>
      <c r="D66" s="276"/>
      <c r="E66" s="276"/>
      <c r="F66" s="276"/>
      <c r="G66" s="276"/>
      <c r="H66" s="276"/>
      <c r="I66" s="276"/>
      <c r="J66" s="276"/>
      <c r="K66" s="276"/>
      <c r="L66" s="276">
        <f>SUM(L59:L64)</f>
        <v>100</v>
      </c>
      <c r="M66" s="276">
        <f>SUM(M59:M64)</f>
        <v>100</v>
      </c>
      <c r="N66" s="277">
        <f>SUM(N59:N64)</f>
        <v>100</v>
      </c>
    </row>
    <row r="68" spans="2:19" x14ac:dyDescent="0.25">
      <c r="S68">
        <v>24485000</v>
      </c>
    </row>
    <row r="69" spans="2:19" x14ac:dyDescent="0.25">
      <c r="S69">
        <f>29500000-S68</f>
        <v>5015000</v>
      </c>
    </row>
    <row r="76" spans="2:19" x14ac:dyDescent="0.25">
      <c r="L76" s="321" t="s">
        <v>193</v>
      </c>
      <c r="M76" s="322"/>
      <c r="N76" s="322"/>
      <c r="O76" s="323">
        <v>1659480.3333333333</v>
      </c>
    </row>
    <row r="77" spans="2:19" x14ac:dyDescent="0.25">
      <c r="L77" s="324"/>
      <c r="M77" s="273"/>
      <c r="N77" s="273"/>
      <c r="O77" s="325"/>
    </row>
    <row r="78" spans="2:19" x14ac:dyDescent="0.25">
      <c r="L78" s="326" t="s">
        <v>221</v>
      </c>
      <c r="M78" s="327"/>
      <c r="N78" s="327"/>
      <c r="O78" s="328">
        <v>0.39814968766252373</v>
      </c>
      <c r="Q78">
        <f>O78*0.6</f>
        <v>0.23888981259751424</v>
      </c>
      <c r="S78">
        <f>O78-Q78</f>
        <v>0.15925987506500949</v>
      </c>
    </row>
    <row r="81" spans="12:19" x14ac:dyDescent="0.25">
      <c r="L81" s="321" t="s">
        <v>222</v>
      </c>
      <c r="M81" s="322"/>
      <c r="N81" s="322"/>
      <c r="O81" s="323">
        <v>1714465.3333333333</v>
      </c>
    </row>
    <row r="82" spans="12:19" x14ac:dyDescent="0.25">
      <c r="L82" s="324"/>
      <c r="M82" s="273"/>
      <c r="N82" s="273"/>
      <c r="O82" s="325"/>
    </row>
    <row r="83" spans="12:19" x14ac:dyDescent="0.25">
      <c r="L83" s="326" t="s">
        <v>223</v>
      </c>
      <c r="M83" s="327"/>
      <c r="N83" s="327"/>
      <c r="O83" s="328">
        <v>0.41134192630276706</v>
      </c>
      <c r="Q83">
        <f>O83*0.4</f>
        <v>0.16453677052110682</v>
      </c>
      <c r="S83">
        <f>O83-Q83</f>
        <v>0.24680515578166023</v>
      </c>
    </row>
    <row r="86" spans="12:19" x14ac:dyDescent="0.25">
      <c r="L86" s="321" t="s">
        <v>224</v>
      </c>
      <c r="M86" s="322"/>
      <c r="N86" s="322"/>
      <c r="O86" s="323">
        <v>794035.33333333337</v>
      </c>
    </row>
    <row r="87" spans="12:19" x14ac:dyDescent="0.25">
      <c r="L87" s="324"/>
      <c r="M87" s="273"/>
      <c r="N87" s="273"/>
      <c r="O87" s="325"/>
    </row>
    <row r="88" spans="12:19" x14ac:dyDescent="0.25">
      <c r="L88" s="326"/>
      <c r="M88" s="327"/>
      <c r="N88" s="327"/>
      <c r="O88" s="328">
        <v>0.19050838603470921</v>
      </c>
    </row>
  </sheetData>
  <mergeCells count="3">
    <mergeCell ref="C2:F2"/>
    <mergeCell ref="H2:K2"/>
    <mergeCell ref="L2:O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topLeftCell="B22" workbookViewId="0">
      <selection activeCell="V39" sqref="V39:V43"/>
    </sheetView>
  </sheetViews>
  <sheetFormatPr defaultColWidth="11.5703125" defaultRowHeight="15" x14ac:dyDescent="0.25"/>
  <cols>
    <col min="1" max="1" width="20" hidden="1" customWidth="1"/>
    <col min="2" max="2" width="22.140625" customWidth="1"/>
    <col min="3" max="5" width="11.28515625" customWidth="1"/>
    <col min="6" max="7" width="11.5703125" customWidth="1"/>
    <col min="8" max="8" width="11.28515625" customWidth="1"/>
    <col min="9" max="9" width="10.85546875" customWidth="1"/>
    <col min="10" max="10" width="9.85546875" customWidth="1"/>
    <col min="11" max="11" width="11" customWidth="1"/>
    <col min="12" max="12" width="10.140625" customWidth="1"/>
    <col min="13" max="13" width="10" customWidth="1"/>
    <col min="14" max="14" width="11.5703125" customWidth="1"/>
    <col min="15" max="15" width="10.28515625" customWidth="1"/>
    <col min="16" max="17" width="11.5703125" customWidth="1"/>
    <col min="18" max="18" width="10.28515625" customWidth="1"/>
    <col min="19" max="19" width="12.85546875" customWidth="1"/>
    <col min="20" max="236" width="9.140625" customWidth="1"/>
    <col min="237" max="237" width="20" customWidth="1"/>
    <col min="238" max="238" width="25.85546875" customWidth="1"/>
    <col min="239" max="246" width="11" customWidth="1"/>
  </cols>
  <sheetData>
    <row r="1" spans="1:19" ht="15.75" thickBot="1" x14ac:dyDescent="0.3"/>
    <row r="2" spans="1:19" ht="15.75" thickBot="1" x14ac:dyDescent="0.3">
      <c r="A2" s="252" t="s">
        <v>181</v>
      </c>
      <c r="B2" s="253" t="s">
        <v>182</v>
      </c>
      <c r="C2" s="448" t="s">
        <v>183</v>
      </c>
      <c r="D2" s="449"/>
      <c r="E2" s="449"/>
      <c r="F2" s="450"/>
      <c r="G2" s="335"/>
      <c r="H2" s="448" t="s">
        <v>184</v>
      </c>
      <c r="I2" s="449"/>
      <c r="J2" s="449"/>
      <c r="K2" s="450"/>
      <c r="L2" s="448" t="s">
        <v>185</v>
      </c>
      <c r="M2" s="449"/>
      <c r="N2" s="449"/>
      <c r="O2" s="450"/>
      <c r="P2" s="334" t="s">
        <v>186</v>
      </c>
      <c r="Q2" s="335"/>
      <c r="R2" s="335"/>
      <c r="S2" s="336"/>
    </row>
    <row r="3" spans="1:19" x14ac:dyDescent="0.25">
      <c r="A3" s="257"/>
      <c r="B3" s="258"/>
      <c r="C3" s="259" t="s">
        <v>187</v>
      </c>
      <c r="D3" s="260" t="s">
        <v>188</v>
      </c>
      <c r="E3" s="260">
        <v>231</v>
      </c>
      <c r="F3" s="261" t="s">
        <v>189</v>
      </c>
      <c r="G3" s="262"/>
      <c r="H3" s="259" t="s">
        <v>187</v>
      </c>
      <c r="I3" s="260" t="s">
        <v>188</v>
      </c>
      <c r="J3" s="260">
        <v>231</v>
      </c>
      <c r="K3" s="261" t="s">
        <v>189</v>
      </c>
      <c r="L3" s="259" t="s">
        <v>187</v>
      </c>
      <c r="M3" s="260" t="s">
        <v>188</v>
      </c>
      <c r="N3" s="260">
        <v>231</v>
      </c>
      <c r="O3" s="261" t="s">
        <v>189</v>
      </c>
      <c r="P3" s="259" t="s">
        <v>190</v>
      </c>
      <c r="Q3" s="260" t="s">
        <v>191</v>
      </c>
      <c r="R3" s="260">
        <v>231</v>
      </c>
      <c r="S3" s="261" t="s">
        <v>189</v>
      </c>
    </row>
    <row r="4" spans="1:19" x14ac:dyDescent="0.25">
      <c r="A4" s="263">
        <v>5</v>
      </c>
      <c r="B4" s="264" t="s">
        <v>192</v>
      </c>
      <c r="C4" s="265">
        <v>32000</v>
      </c>
      <c r="D4" s="266">
        <v>23000</v>
      </c>
      <c r="E4" s="266">
        <v>15000</v>
      </c>
      <c r="F4" s="267">
        <f>SUM(C4:E4)</f>
        <v>70000</v>
      </c>
      <c r="G4" s="268"/>
      <c r="H4" s="265">
        <v>32000</v>
      </c>
      <c r="I4" s="266">
        <v>25000</v>
      </c>
      <c r="J4" s="266">
        <v>15000</v>
      </c>
      <c r="K4" s="267">
        <f>SUM(H4:J4)</f>
        <v>72000</v>
      </c>
      <c r="L4" s="265">
        <v>32000</v>
      </c>
      <c r="M4" s="266">
        <v>25000</v>
      </c>
      <c r="N4" s="266">
        <v>10000</v>
      </c>
      <c r="O4" s="267">
        <f>SUM(L4:N4)</f>
        <v>67000</v>
      </c>
      <c r="P4" s="265">
        <v>32000</v>
      </c>
      <c r="Q4" s="266">
        <v>25000</v>
      </c>
      <c r="R4" s="266">
        <v>13000</v>
      </c>
      <c r="S4" s="267">
        <f>SUM(P4:R4)</f>
        <v>70000</v>
      </c>
    </row>
    <row r="8" spans="1:19" x14ac:dyDescent="0.25">
      <c r="B8">
        <v>31750</v>
      </c>
    </row>
    <row r="9" spans="1:19" ht="15.75" thickBot="1" x14ac:dyDescent="0.3">
      <c r="B9">
        <f>28260/31750</f>
        <v>0.89007874015748034</v>
      </c>
    </row>
    <row r="10" spans="1:19" x14ac:dyDescent="0.25">
      <c r="C10" s="269"/>
      <c r="D10" s="270" t="s">
        <v>193</v>
      </c>
      <c r="E10" s="270">
        <v>230</v>
      </c>
      <c r="F10" s="271"/>
      <c r="G10" s="270"/>
      <c r="H10" s="269"/>
      <c r="I10" s="270" t="s">
        <v>193</v>
      </c>
      <c r="J10" s="270">
        <v>230</v>
      </c>
      <c r="K10" s="271"/>
      <c r="L10" s="269"/>
      <c r="M10" s="270" t="s">
        <v>193</v>
      </c>
      <c r="N10" s="270">
        <v>230</v>
      </c>
      <c r="O10" s="271"/>
      <c r="P10" s="270" t="s">
        <v>193</v>
      </c>
      <c r="Q10" s="270">
        <v>230</v>
      </c>
      <c r="R10" s="270"/>
      <c r="S10" s="271"/>
    </row>
    <row r="11" spans="1:19" x14ac:dyDescent="0.25">
      <c r="C11" s="272"/>
      <c r="D11" s="273" t="s">
        <v>194</v>
      </c>
      <c r="E11" s="273">
        <v>12</v>
      </c>
      <c r="F11" s="274"/>
      <c r="G11" s="273"/>
      <c r="H11" s="272"/>
      <c r="I11" s="273" t="s">
        <v>194</v>
      </c>
      <c r="J11" s="273">
        <v>12</v>
      </c>
      <c r="K11" s="274"/>
      <c r="L11" s="272"/>
      <c r="M11" s="273" t="s">
        <v>194</v>
      </c>
      <c r="N11" s="273">
        <v>12</v>
      </c>
      <c r="O11" s="274"/>
      <c r="P11" s="273" t="s">
        <v>194</v>
      </c>
      <c r="Q11" s="273">
        <v>16</v>
      </c>
      <c r="R11" s="273"/>
      <c r="S11" s="274"/>
    </row>
    <row r="12" spans="1:19" x14ac:dyDescent="0.25">
      <c r="C12" s="272"/>
      <c r="D12" s="273" t="s">
        <v>195</v>
      </c>
      <c r="E12" s="273">
        <v>48</v>
      </c>
      <c r="F12" s="274"/>
      <c r="G12" s="273"/>
      <c r="H12" s="272"/>
      <c r="I12" s="273" t="s">
        <v>195</v>
      </c>
      <c r="J12" s="273">
        <v>48</v>
      </c>
      <c r="K12" s="274"/>
      <c r="L12" s="272"/>
      <c r="M12" s="273" t="s">
        <v>195</v>
      </c>
      <c r="N12" s="273">
        <v>48</v>
      </c>
      <c r="O12" s="274"/>
      <c r="P12" s="273" t="s">
        <v>195</v>
      </c>
      <c r="Q12" s="273">
        <v>48</v>
      </c>
      <c r="R12" s="273"/>
      <c r="S12" s="274"/>
    </row>
    <row r="13" spans="1:19" x14ac:dyDescent="0.25">
      <c r="C13" s="272"/>
      <c r="D13" s="273"/>
      <c r="E13" s="273"/>
      <c r="F13" s="274"/>
      <c r="G13" s="273"/>
      <c r="H13" s="272"/>
      <c r="I13" s="273"/>
      <c r="J13" s="273"/>
      <c r="K13" s="274"/>
      <c r="L13" s="272"/>
      <c r="M13" s="273"/>
      <c r="N13" s="273"/>
      <c r="O13" s="274"/>
      <c r="P13" s="273"/>
      <c r="Q13" s="273"/>
      <c r="R13" s="273"/>
      <c r="S13" s="274"/>
    </row>
    <row r="14" spans="1:19" ht="15.75" thickBot="1" x14ac:dyDescent="0.3">
      <c r="C14" s="275"/>
      <c r="D14" s="276" t="s">
        <v>196</v>
      </c>
      <c r="E14" s="276">
        <f>SUM(E10:E13)</f>
        <v>290</v>
      </c>
      <c r="F14" s="277"/>
      <c r="G14" s="276"/>
      <c r="H14" s="275"/>
      <c r="I14" s="276" t="s">
        <v>196</v>
      </c>
      <c r="J14" s="276">
        <f>SUM(J10:J13)</f>
        <v>290</v>
      </c>
      <c r="K14" s="277"/>
      <c r="L14" s="275"/>
      <c r="M14" s="276" t="s">
        <v>196</v>
      </c>
      <c r="N14" s="276">
        <f>SUM(N10:N13)</f>
        <v>290</v>
      </c>
      <c r="O14" s="277"/>
      <c r="P14" s="276" t="s">
        <v>196</v>
      </c>
      <c r="Q14" s="276">
        <f>SUM(Q10:Q13)</f>
        <v>294</v>
      </c>
      <c r="R14" s="276"/>
      <c r="S14" s="277"/>
    </row>
    <row r="15" spans="1:19" ht="15.75" thickBot="1" x14ac:dyDescent="0.3">
      <c r="C15" s="278"/>
      <c r="D15" s="279">
        <v>2017</v>
      </c>
      <c r="E15" s="279"/>
      <c r="F15" s="280"/>
      <c r="G15" s="279"/>
      <c r="H15" s="278"/>
      <c r="I15" s="279">
        <v>2018</v>
      </c>
      <c r="J15" s="279"/>
      <c r="K15" s="280"/>
      <c r="L15" s="278"/>
      <c r="M15" s="279">
        <v>2019</v>
      </c>
      <c r="N15" s="279"/>
      <c r="O15" s="280"/>
      <c r="P15" s="278"/>
      <c r="Q15" s="279">
        <v>2020</v>
      </c>
      <c r="R15" s="279"/>
      <c r="S15" s="280"/>
    </row>
    <row r="16" spans="1:19" s="7" customFormat="1" x14ac:dyDescent="0.25">
      <c r="C16" s="281">
        <v>600</v>
      </c>
      <c r="D16" s="282">
        <v>601</v>
      </c>
      <c r="E16" s="282">
        <v>602</v>
      </c>
      <c r="F16" s="283">
        <v>231</v>
      </c>
      <c r="G16" s="284"/>
      <c r="H16" s="281">
        <v>600</v>
      </c>
      <c r="I16" s="282">
        <v>601</v>
      </c>
      <c r="J16" s="282">
        <v>602</v>
      </c>
      <c r="K16" s="283">
        <v>231</v>
      </c>
      <c r="L16" s="281">
        <v>600</v>
      </c>
      <c r="M16" s="282">
        <v>601</v>
      </c>
      <c r="N16" s="282">
        <v>602</v>
      </c>
      <c r="O16" s="283">
        <v>231</v>
      </c>
      <c r="P16" s="281">
        <v>600</v>
      </c>
      <c r="Q16" s="282">
        <v>601</v>
      </c>
      <c r="R16" s="282">
        <v>602</v>
      </c>
      <c r="S16" s="283">
        <v>231</v>
      </c>
    </row>
    <row r="17" spans="2:25" s="285" customFormat="1" x14ac:dyDescent="0.25">
      <c r="C17" s="286">
        <v>27159000</v>
      </c>
      <c r="D17" s="287">
        <v>4841000</v>
      </c>
      <c r="E17" s="287">
        <v>23000000</v>
      </c>
      <c r="F17" s="288">
        <v>28000000</v>
      </c>
      <c r="G17" s="289"/>
      <c r="H17" s="286">
        <v>27421000</v>
      </c>
      <c r="I17" s="287">
        <f>H4*1000-H17</f>
        <v>4579000</v>
      </c>
      <c r="J17" s="287">
        <v>25000000</v>
      </c>
      <c r="K17" s="288">
        <v>15000000</v>
      </c>
      <c r="L17" s="286">
        <v>27421000</v>
      </c>
      <c r="M17" s="287">
        <f>L4*1000-L17</f>
        <v>4579000</v>
      </c>
      <c r="N17" s="287">
        <v>25000000</v>
      </c>
      <c r="O17" s="288">
        <v>10000000</v>
      </c>
      <c r="P17" s="286">
        <v>27421000</v>
      </c>
      <c r="Q17" s="287">
        <f>P4*1000-P17</f>
        <v>4579000</v>
      </c>
      <c r="R17" s="287">
        <v>25000000</v>
      </c>
      <c r="S17" s="288">
        <v>13000000</v>
      </c>
    </row>
    <row r="18" spans="2:25" s="285" customFormat="1" x14ac:dyDescent="0.25">
      <c r="B18" s="290" t="s">
        <v>197</v>
      </c>
      <c r="C18" s="286"/>
      <c r="D18" s="287"/>
      <c r="E18" s="287"/>
      <c r="F18" s="288"/>
      <c r="G18" s="289"/>
      <c r="H18" s="286"/>
      <c r="I18" s="287"/>
      <c r="J18" s="287"/>
      <c r="K18" s="288"/>
      <c r="L18" s="286"/>
      <c r="M18" s="287"/>
      <c r="N18" s="287"/>
      <c r="O18" s="288"/>
      <c r="P18" s="286"/>
      <c r="Q18" s="287"/>
      <c r="R18" s="287"/>
      <c r="S18" s="288"/>
    </row>
    <row r="19" spans="2:25" x14ac:dyDescent="0.25">
      <c r="B19" s="291" t="s">
        <v>198</v>
      </c>
      <c r="C19" s="292">
        <f>C17*L59/100</f>
        <v>4318281</v>
      </c>
      <c r="D19" s="293">
        <f>D17*M59/100</f>
        <v>769719</v>
      </c>
      <c r="E19" s="293">
        <f>E17*N59/100</f>
        <v>3151000</v>
      </c>
      <c r="F19" s="294">
        <f>C19+D19+E19</f>
        <v>8239000</v>
      </c>
      <c r="G19" s="329"/>
      <c r="H19" s="292">
        <f>H17*L59/100</f>
        <v>4359939</v>
      </c>
      <c r="I19" s="293">
        <f>I17*M59/100</f>
        <v>728061</v>
      </c>
      <c r="J19" s="293">
        <f>J17*N59/100</f>
        <v>3425000</v>
      </c>
      <c r="K19" s="295"/>
      <c r="L19" s="292">
        <v>4359939</v>
      </c>
      <c r="M19" s="293">
        <v>728061</v>
      </c>
      <c r="N19" s="293">
        <v>3425000</v>
      </c>
      <c r="O19" s="295"/>
      <c r="P19" s="292">
        <v>4359939</v>
      </c>
      <c r="Q19" s="293">
        <v>728061</v>
      </c>
      <c r="R19" s="293">
        <v>3425000</v>
      </c>
      <c r="S19" s="295"/>
    </row>
    <row r="20" spans="2:25" x14ac:dyDescent="0.25">
      <c r="B20" s="291" t="s">
        <v>199</v>
      </c>
      <c r="C20" s="292">
        <f>C17*L60/100</f>
        <v>6491001</v>
      </c>
      <c r="D20" s="293">
        <f>D17*M60/100</f>
        <v>1156999</v>
      </c>
      <c r="E20" s="293">
        <f>E17*N60/100</f>
        <v>12420000</v>
      </c>
      <c r="F20" s="294">
        <f t="shared" ref="F20:F26" si="0">C20+D20+E20</f>
        <v>20068000</v>
      </c>
      <c r="G20" s="329"/>
      <c r="H20" s="292">
        <f>H17*L60/100</f>
        <v>6553619</v>
      </c>
      <c r="I20" s="293">
        <f>I17*M60/100</f>
        <v>1094381</v>
      </c>
      <c r="J20" s="293">
        <f>J17*N60/100</f>
        <v>13500000</v>
      </c>
      <c r="K20" s="295"/>
      <c r="L20" s="292">
        <v>6553619</v>
      </c>
      <c r="M20" s="293">
        <v>1094381</v>
      </c>
      <c r="N20" s="293">
        <v>13500000</v>
      </c>
      <c r="O20" s="295"/>
      <c r="P20" s="292">
        <v>6553619</v>
      </c>
      <c r="Q20" s="293">
        <v>1094381</v>
      </c>
      <c r="R20" s="293">
        <v>13500000</v>
      </c>
      <c r="S20" s="295"/>
    </row>
    <row r="21" spans="2:25" x14ac:dyDescent="0.25">
      <c r="B21" s="290" t="s">
        <v>200</v>
      </c>
      <c r="D21" s="293"/>
      <c r="E21" s="293"/>
      <c r="F21" s="294">
        <f t="shared" si="0"/>
        <v>0</v>
      </c>
      <c r="G21" s="330"/>
      <c r="I21" s="293"/>
      <c r="J21" s="293"/>
      <c r="K21" s="295"/>
      <c r="M21" s="293"/>
      <c r="N21" s="293"/>
      <c r="O21" s="295"/>
      <c r="P21" s="292"/>
      <c r="Q21" s="293"/>
      <c r="R21" s="293"/>
      <c r="S21" s="295"/>
    </row>
    <row r="22" spans="2:25" x14ac:dyDescent="0.25">
      <c r="B22" s="291" t="s">
        <v>199</v>
      </c>
      <c r="C22" s="292">
        <f>L61/100*C17</f>
        <v>4481235</v>
      </c>
      <c r="D22" s="293">
        <f>D17*M61/100</f>
        <v>798765</v>
      </c>
      <c r="E22" s="293">
        <f>E17*N61/100</f>
        <v>4370000</v>
      </c>
      <c r="F22" s="294">
        <f t="shared" si="0"/>
        <v>9650000</v>
      </c>
      <c r="G22" s="329"/>
      <c r="H22" s="292">
        <f>H17*L61/100</f>
        <v>4524465</v>
      </c>
      <c r="I22" s="293">
        <f>I17*M61/100</f>
        <v>755535</v>
      </c>
      <c r="J22" s="293">
        <f>J17*N61/100</f>
        <v>4750000</v>
      </c>
      <c r="K22" s="295"/>
      <c r="L22" s="292">
        <v>4524465</v>
      </c>
      <c r="M22" s="293">
        <v>755535</v>
      </c>
      <c r="N22" s="293">
        <v>4750000</v>
      </c>
      <c r="O22" s="295"/>
      <c r="P22" s="292">
        <v>4524465</v>
      </c>
      <c r="Q22" s="293">
        <v>755535</v>
      </c>
      <c r="R22" s="293">
        <v>4750000</v>
      </c>
      <c r="S22" s="295"/>
      <c r="Y22">
        <f>32000000/1.167</f>
        <v>27420736.932305057</v>
      </c>
    </row>
    <row r="23" spans="2:25" x14ac:dyDescent="0.25">
      <c r="B23" s="297"/>
      <c r="C23" s="292"/>
      <c r="D23" s="293"/>
      <c r="E23" s="293"/>
      <c r="F23" s="294">
        <f t="shared" si="0"/>
        <v>0</v>
      </c>
      <c r="G23" s="329"/>
      <c r="H23" s="292"/>
      <c r="I23" s="293"/>
      <c r="J23" s="293"/>
      <c r="K23" s="295"/>
      <c r="L23" s="292"/>
      <c r="M23" s="293"/>
      <c r="N23" s="293"/>
      <c r="O23" s="295"/>
      <c r="P23" s="292"/>
      <c r="Q23" s="293"/>
      <c r="R23" s="293"/>
      <c r="S23" s="295"/>
    </row>
    <row r="24" spans="2:25" x14ac:dyDescent="0.25">
      <c r="B24" s="290" t="s">
        <v>201</v>
      </c>
      <c r="C24" s="292"/>
      <c r="D24" s="293"/>
      <c r="E24" s="293"/>
      <c r="F24" s="294">
        <f t="shared" si="0"/>
        <v>0</v>
      </c>
      <c r="G24" s="329"/>
      <c r="H24" s="292"/>
      <c r="I24" s="293"/>
      <c r="J24" s="293"/>
      <c r="K24" s="295"/>
      <c r="L24" s="292"/>
      <c r="M24" s="293"/>
      <c r="N24" s="293"/>
      <c r="O24" s="295"/>
      <c r="P24" s="292"/>
      <c r="Q24" s="293"/>
      <c r="R24" s="293"/>
      <c r="S24" s="295"/>
      <c r="Y24">
        <f>Y22*16.7/100</f>
        <v>4579263.0676949443</v>
      </c>
    </row>
    <row r="25" spans="2:25" x14ac:dyDescent="0.25">
      <c r="B25" s="291" t="s">
        <v>199</v>
      </c>
      <c r="C25" s="292">
        <f>L62/100*C17</f>
        <v>5160210</v>
      </c>
      <c r="D25" s="293">
        <f>D17*M62/100</f>
        <v>919790</v>
      </c>
      <c r="E25" s="293">
        <f>E17*N62/100</f>
        <v>2438000</v>
      </c>
      <c r="F25" s="294">
        <f t="shared" si="0"/>
        <v>8518000</v>
      </c>
      <c r="G25" s="329"/>
      <c r="H25" s="292">
        <f>H17*L62/100</f>
        <v>5209990</v>
      </c>
      <c r="I25" s="293">
        <f>I17*M62/100</f>
        <v>870010</v>
      </c>
      <c r="J25" s="293">
        <f>J17*N62/100</f>
        <v>2650000</v>
      </c>
      <c r="K25" s="295"/>
      <c r="L25" s="292">
        <v>5209990</v>
      </c>
      <c r="M25" s="293">
        <v>870010</v>
      </c>
      <c r="N25" s="293">
        <v>2650000</v>
      </c>
      <c r="O25" s="295"/>
      <c r="P25" s="292">
        <v>5209990</v>
      </c>
      <c r="Q25" s="293">
        <v>870010</v>
      </c>
      <c r="R25" s="293">
        <v>2650000</v>
      </c>
      <c r="S25" s="295"/>
    </row>
    <row r="26" spans="2:25" x14ac:dyDescent="0.25">
      <c r="B26" s="290" t="s">
        <v>202</v>
      </c>
      <c r="C26" s="292">
        <f>C17*L64/100</f>
        <v>6708273</v>
      </c>
      <c r="D26" s="293">
        <f>D17*M64/100</f>
        <v>1195727</v>
      </c>
      <c r="E26" s="293">
        <f>E17*N64/100</f>
        <v>621000.00000000012</v>
      </c>
      <c r="F26" s="294">
        <f t="shared" si="0"/>
        <v>8525000</v>
      </c>
      <c r="G26" s="329"/>
      <c r="H26" s="292">
        <f>L64*H17/100</f>
        <v>6772987</v>
      </c>
      <c r="I26" s="293">
        <f>I17*M64/100</f>
        <v>1131013</v>
      </c>
      <c r="J26" s="293">
        <f>J17*N64/100</f>
        <v>675000</v>
      </c>
      <c r="K26" s="295"/>
      <c r="L26" s="292">
        <v>6772987</v>
      </c>
      <c r="M26" s="293">
        <v>1131013</v>
      </c>
      <c r="N26" s="293">
        <v>675000</v>
      </c>
      <c r="O26" s="295"/>
      <c r="P26" s="292">
        <v>6772987</v>
      </c>
      <c r="Q26" s="293">
        <v>1131013</v>
      </c>
      <c r="R26" s="293">
        <v>675000</v>
      </c>
      <c r="S26" s="295"/>
    </row>
    <row r="27" spans="2:25" x14ac:dyDescent="0.25">
      <c r="B27" s="298" t="s">
        <v>203</v>
      </c>
      <c r="C27" s="292"/>
      <c r="D27" s="293"/>
      <c r="E27" s="293"/>
      <c r="F27" s="295">
        <v>28000000</v>
      </c>
      <c r="G27" s="296"/>
      <c r="H27" s="292"/>
      <c r="I27" s="293"/>
      <c r="J27" s="293"/>
      <c r="K27" s="295">
        <v>13000000</v>
      </c>
      <c r="L27" s="292"/>
      <c r="M27" s="293"/>
      <c r="N27" s="293"/>
      <c r="O27" s="295">
        <v>10000000</v>
      </c>
      <c r="P27" s="292"/>
      <c r="Q27" s="293"/>
      <c r="R27" s="293"/>
      <c r="S27" s="295"/>
    </row>
    <row r="28" spans="2:25" x14ac:dyDescent="0.25">
      <c r="B28" s="298" t="s">
        <v>204</v>
      </c>
      <c r="C28" s="299"/>
      <c r="D28" s="300"/>
      <c r="E28" s="300"/>
      <c r="F28" s="301"/>
      <c r="G28" s="302"/>
      <c r="H28" s="299"/>
      <c r="I28" s="300"/>
      <c r="J28" s="300"/>
      <c r="K28" s="301">
        <v>1000000</v>
      </c>
      <c r="L28" s="299"/>
      <c r="M28" s="300"/>
      <c r="N28" s="300"/>
      <c r="O28" s="301"/>
      <c r="P28" s="299"/>
      <c r="Q28" s="300"/>
      <c r="R28" s="300"/>
      <c r="S28" s="301"/>
    </row>
    <row r="29" spans="2:25" x14ac:dyDescent="0.25">
      <c r="B29" s="298" t="s">
        <v>205</v>
      </c>
      <c r="C29" s="299"/>
      <c r="D29" s="300"/>
      <c r="E29" s="300"/>
      <c r="F29" s="301"/>
      <c r="G29" s="302"/>
      <c r="H29" s="299"/>
      <c r="I29" s="300"/>
      <c r="J29" s="300"/>
      <c r="K29" s="301">
        <v>1000000</v>
      </c>
      <c r="L29" s="299"/>
      <c r="M29" s="300"/>
      <c r="N29" s="300"/>
      <c r="O29" s="301"/>
      <c r="P29" s="299"/>
      <c r="Q29" s="300"/>
      <c r="R29" s="300"/>
      <c r="S29" s="301"/>
    </row>
    <row r="30" spans="2:25" x14ac:dyDescent="0.25">
      <c r="B30" s="298" t="s">
        <v>206</v>
      </c>
      <c r="C30" s="299"/>
      <c r="D30" s="300"/>
      <c r="E30" s="300"/>
      <c r="F30" s="301"/>
      <c r="G30" s="302"/>
      <c r="H30" s="299"/>
      <c r="I30" s="300"/>
      <c r="J30" s="300"/>
      <c r="K30" s="301"/>
      <c r="L30" s="299"/>
      <c r="M30" s="300"/>
      <c r="N30" s="300"/>
      <c r="O30" s="301"/>
      <c r="P30" s="299"/>
      <c r="Q30" s="300"/>
      <c r="R30" s="300"/>
      <c r="S30" s="301">
        <v>13000000</v>
      </c>
    </row>
    <row r="31" spans="2:25" ht="15.75" thickBot="1" x14ac:dyDescent="0.3">
      <c r="B31" s="298"/>
      <c r="C31" s="303">
        <f t="shared" ref="C31:E31" si="1">SUM(C19:C27)</f>
        <v>27159000</v>
      </c>
      <c r="D31" s="304">
        <f t="shared" si="1"/>
        <v>4841000</v>
      </c>
      <c r="E31" s="304">
        <f t="shared" si="1"/>
        <v>23000000</v>
      </c>
      <c r="F31" s="305">
        <f>SUM(F19:F30)</f>
        <v>83000000</v>
      </c>
      <c r="G31" s="331"/>
      <c r="H31" s="303">
        <f t="shared" ref="H31:J31" si="2">SUM(H19:H27)</f>
        <v>27421000</v>
      </c>
      <c r="I31" s="304">
        <f t="shared" si="2"/>
        <v>4579000</v>
      </c>
      <c r="J31" s="304">
        <f t="shared" si="2"/>
        <v>25000000</v>
      </c>
      <c r="K31" s="305">
        <f>SUM(K19:K30)</f>
        <v>15000000</v>
      </c>
      <c r="L31" s="305">
        <f t="shared" ref="L31:S31" si="3">SUM(L19:L30)</f>
        <v>27421000</v>
      </c>
      <c r="M31" s="305">
        <f t="shared" si="3"/>
        <v>4579000</v>
      </c>
      <c r="N31" s="305">
        <f t="shared" si="3"/>
        <v>25000000</v>
      </c>
      <c r="O31" s="305">
        <f t="shared" si="3"/>
        <v>10000000</v>
      </c>
      <c r="P31" s="305">
        <f t="shared" si="3"/>
        <v>27421000</v>
      </c>
      <c r="Q31" s="305">
        <f t="shared" si="3"/>
        <v>4579000</v>
      </c>
      <c r="R31" s="305">
        <f t="shared" si="3"/>
        <v>25000000</v>
      </c>
      <c r="S31" s="305">
        <f t="shared" si="3"/>
        <v>13000000</v>
      </c>
    </row>
    <row r="33" spans="2:22" x14ac:dyDescent="0.25">
      <c r="H33" s="306">
        <f>H31-H17</f>
        <v>0</v>
      </c>
      <c r="I33" s="306">
        <f>I31-I17</f>
        <v>0</v>
      </c>
      <c r="J33" s="306">
        <f>J31-J17</f>
        <v>0</v>
      </c>
      <c r="K33" s="306">
        <f>K31-K17</f>
        <v>0</v>
      </c>
      <c r="L33" s="306">
        <f t="shared" ref="L33:S33" si="4">L31-L17</f>
        <v>0</v>
      </c>
      <c r="M33" s="306">
        <f t="shared" si="4"/>
        <v>0</v>
      </c>
      <c r="N33" s="306">
        <f t="shared" si="4"/>
        <v>0</v>
      </c>
      <c r="O33" s="306">
        <f t="shared" si="4"/>
        <v>0</v>
      </c>
      <c r="P33" s="306">
        <f t="shared" si="4"/>
        <v>0</v>
      </c>
      <c r="Q33" s="306">
        <f t="shared" si="4"/>
        <v>0</v>
      </c>
      <c r="R33" s="306">
        <f t="shared" si="4"/>
        <v>0</v>
      </c>
      <c r="S33" s="306">
        <f t="shared" si="4"/>
        <v>0</v>
      </c>
    </row>
    <row r="34" spans="2:22" ht="15.75" thickBot="1" x14ac:dyDescent="0.3">
      <c r="K34" s="306">
        <f>H31+I31+J31+K31</f>
        <v>72000000</v>
      </c>
      <c r="O34" s="306">
        <f>L31+M31+N31+O31</f>
        <v>67000000</v>
      </c>
      <c r="S34" s="306">
        <f>P31+Q31+R31+S31</f>
        <v>70000000</v>
      </c>
    </row>
    <row r="35" spans="2:22" x14ac:dyDescent="0.25">
      <c r="B35" s="269"/>
      <c r="C35" s="270"/>
      <c r="D35" s="270"/>
      <c r="E35" s="270"/>
      <c r="F35" s="270"/>
      <c r="G35" s="270"/>
      <c r="H35" s="270"/>
      <c r="I35" s="270"/>
      <c r="J35" s="270"/>
      <c r="K35" s="307">
        <f>K34/1000-K4</f>
        <v>0</v>
      </c>
      <c r="L35" s="270"/>
      <c r="M35" s="270"/>
      <c r="N35" s="271"/>
      <c r="O35" s="308">
        <f>O34/1000-O4</f>
        <v>0</v>
      </c>
      <c r="S35" s="308">
        <f>S34/1000-S4</f>
        <v>0</v>
      </c>
    </row>
    <row r="36" spans="2:22" x14ac:dyDescent="0.25">
      <c r="B36" s="272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4"/>
    </row>
    <row r="37" spans="2:22" x14ac:dyDescent="0.25">
      <c r="B37" s="272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4"/>
      <c r="U37">
        <v>11894323</v>
      </c>
    </row>
    <row r="38" spans="2:22" x14ac:dyDescent="0.25">
      <c r="B38" s="272"/>
      <c r="C38" s="273"/>
      <c r="D38" s="273"/>
      <c r="E38" s="273"/>
      <c r="F38" s="273"/>
      <c r="G38" s="273"/>
      <c r="H38" s="309"/>
      <c r="I38" s="309" t="s">
        <v>234</v>
      </c>
      <c r="J38" s="309"/>
      <c r="K38" s="309" t="s">
        <v>235</v>
      </c>
      <c r="L38" s="309"/>
      <c r="M38" s="309" t="s">
        <v>236</v>
      </c>
      <c r="N38" s="310"/>
      <c r="O38" s="311"/>
      <c r="P38" s="309"/>
      <c r="Q38" s="309" t="s">
        <v>211</v>
      </c>
      <c r="R38" s="309"/>
    </row>
    <row r="39" spans="2:22" x14ac:dyDescent="0.25">
      <c r="B39" s="272"/>
      <c r="C39" s="273"/>
      <c r="D39" s="273"/>
      <c r="E39" s="273"/>
      <c r="F39" s="273"/>
      <c r="G39" s="273"/>
      <c r="H39" s="309" t="s">
        <v>193</v>
      </c>
      <c r="I39" s="309">
        <v>91</v>
      </c>
      <c r="J39" s="293">
        <f>(H48+H49)/E10*I39</f>
        <v>11199726.086956521</v>
      </c>
      <c r="K39" s="309">
        <v>69</v>
      </c>
      <c r="L39" s="293">
        <f>(H48+H49)/E10*K39</f>
        <v>8492100</v>
      </c>
      <c r="M39" s="309">
        <v>70</v>
      </c>
      <c r="N39" s="295">
        <f>(H48+H49)/E10*M39</f>
        <v>8615173.9130434785</v>
      </c>
      <c r="O39" s="311"/>
      <c r="P39" s="293">
        <f>(H48+H49)/E10*O39</f>
        <v>0</v>
      </c>
      <c r="Q39" s="309">
        <f t="shared" ref="Q39:R42" si="5">I39+K39+M39+O39</f>
        <v>230</v>
      </c>
      <c r="R39" s="293">
        <f t="shared" si="5"/>
        <v>28307000</v>
      </c>
      <c r="T39">
        <f>R39/R44*100</f>
        <v>51.467272727272729</v>
      </c>
      <c r="V39">
        <f>T39*U37/100</f>
        <v>6121683.6574727269</v>
      </c>
    </row>
    <row r="40" spans="2:22" x14ac:dyDescent="0.25">
      <c r="B40" s="272"/>
      <c r="C40" s="273"/>
      <c r="D40" s="273"/>
      <c r="E40" s="273"/>
      <c r="F40" s="273"/>
      <c r="G40" s="273"/>
      <c r="H40" s="309" t="s">
        <v>212</v>
      </c>
      <c r="I40" s="309">
        <v>1</v>
      </c>
      <c r="J40" s="293">
        <f>H50/E11*I40</f>
        <v>804166.66666666663</v>
      </c>
      <c r="K40" s="309">
        <v>6</v>
      </c>
      <c r="L40" s="293">
        <f>H50/E11*K40</f>
        <v>4825000</v>
      </c>
      <c r="M40" s="309">
        <v>5</v>
      </c>
      <c r="N40" s="295">
        <f>H50/E11*M40</f>
        <v>4020833.333333333</v>
      </c>
      <c r="O40" s="311"/>
      <c r="P40" s="293"/>
      <c r="Q40" s="309">
        <f t="shared" si="5"/>
        <v>12</v>
      </c>
      <c r="R40" s="293">
        <f t="shared" si="5"/>
        <v>9650000</v>
      </c>
      <c r="T40">
        <f>R40/R44*100</f>
        <v>17.545454545454543</v>
      </c>
      <c r="V40">
        <f>U37*T40/100</f>
        <v>2086913.0354545454</v>
      </c>
    </row>
    <row r="41" spans="2:22" x14ac:dyDescent="0.25">
      <c r="B41" s="272"/>
      <c r="C41" s="273"/>
      <c r="D41" s="273"/>
      <c r="E41" s="273">
        <f>J41/I41*13</f>
        <v>2301270.8333333335</v>
      </c>
      <c r="F41" s="273"/>
      <c r="G41" s="273"/>
      <c r="H41" t="s">
        <v>225</v>
      </c>
      <c r="I41">
        <v>16</v>
      </c>
      <c r="J41">
        <f>H52/E12*I41-7000</f>
        <v>2832333.3333333335</v>
      </c>
      <c r="K41">
        <v>16</v>
      </c>
      <c r="L41">
        <f>H52/E12*K41+7000</f>
        <v>2846333.3333333335</v>
      </c>
      <c r="M41">
        <v>16</v>
      </c>
      <c r="N41">
        <f>H52/E12*M41</f>
        <v>2839333.3333333335</v>
      </c>
      <c r="Q41" s="309">
        <f t="shared" si="5"/>
        <v>48</v>
      </c>
      <c r="R41" s="293">
        <f t="shared" si="5"/>
        <v>8518000</v>
      </c>
      <c r="T41">
        <f>R41/R44*100</f>
        <v>15.487272727272728</v>
      </c>
      <c r="V41">
        <f>U37*T41/100</f>
        <v>1842106.2420727273</v>
      </c>
    </row>
    <row r="42" spans="2:22" x14ac:dyDescent="0.25">
      <c r="B42" s="272"/>
      <c r="C42" s="273"/>
      <c r="D42" s="273"/>
      <c r="E42" s="273">
        <f>J42/I42*124</f>
        <v>3645172.4137931033</v>
      </c>
      <c r="F42" s="273"/>
      <c r="G42" s="273"/>
      <c r="H42" s="309" t="s">
        <v>196</v>
      </c>
      <c r="I42" s="309">
        <f>SUM(I39:I41)</f>
        <v>108</v>
      </c>
      <c r="J42" s="293">
        <f>H51/E14*I42</f>
        <v>3174827.5862068967</v>
      </c>
      <c r="K42" s="309">
        <f>SUM(K39:K41)</f>
        <v>91</v>
      </c>
      <c r="L42" s="293">
        <f>H51/E14*K42</f>
        <v>2675086.2068965519</v>
      </c>
      <c r="M42" s="309">
        <f>SUM(M39:M41)</f>
        <v>91</v>
      </c>
      <c r="N42" s="295">
        <f>H51/E14*M42</f>
        <v>2675086.2068965519</v>
      </c>
      <c r="O42" s="311"/>
      <c r="P42" s="293"/>
      <c r="Q42" s="309">
        <f t="shared" si="5"/>
        <v>290</v>
      </c>
      <c r="R42" s="293">
        <f t="shared" si="5"/>
        <v>8525000</v>
      </c>
      <c r="T42">
        <f>R42/R44*100</f>
        <v>15.5</v>
      </c>
      <c r="V42">
        <f>U37*T42/100</f>
        <v>1843620.0649999999</v>
      </c>
    </row>
    <row r="43" spans="2:22" x14ac:dyDescent="0.25">
      <c r="B43" s="312"/>
      <c r="C43" s="313"/>
      <c r="D43" s="313"/>
      <c r="E43" s="313"/>
      <c r="F43" s="313"/>
      <c r="G43" s="313"/>
      <c r="H43" s="273"/>
      <c r="I43" s="273"/>
      <c r="J43" s="273"/>
      <c r="K43" s="273"/>
      <c r="L43" s="273"/>
      <c r="M43" s="273"/>
      <c r="N43" s="274"/>
      <c r="V43">
        <f>SUM(V39:V42)</f>
        <v>11894322.999999998</v>
      </c>
    </row>
    <row r="44" spans="2:22" x14ac:dyDescent="0.25">
      <c r="B44" s="312"/>
      <c r="C44" s="313"/>
      <c r="D44" s="313"/>
      <c r="E44" s="313"/>
      <c r="F44" s="313"/>
      <c r="G44" s="313"/>
      <c r="H44" s="320" t="s">
        <v>211</v>
      </c>
      <c r="I44" s="273"/>
      <c r="J44" s="317">
        <f>SUM(J39:J43)</f>
        <v>18011053.673163418</v>
      </c>
      <c r="K44" s="317"/>
      <c r="L44" s="317">
        <f t="shared" ref="K44:R44" si="6">SUM(L39:L43)</f>
        <v>18838519.540229887</v>
      </c>
      <c r="M44" s="317"/>
      <c r="N44" s="317">
        <f t="shared" si="6"/>
        <v>18150426.786606699</v>
      </c>
      <c r="O44" s="317">
        <f t="shared" si="6"/>
        <v>0</v>
      </c>
      <c r="P44" s="317">
        <f t="shared" si="6"/>
        <v>0</v>
      </c>
      <c r="Q44" s="317">
        <f t="shared" si="6"/>
        <v>580</v>
      </c>
      <c r="R44" s="317">
        <f t="shared" si="6"/>
        <v>55000000</v>
      </c>
    </row>
    <row r="45" spans="2:22" x14ac:dyDescent="0.25">
      <c r="B45" s="312"/>
      <c r="C45" s="313"/>
      <c r="D45" s="313"/>
      <c r="E45" s="313"/>
      <c r="F45" s="313"/>
      <c r="G45" s="313"/>
      <c r="H45" s="273"/>
      <c r="I45" s="273"/>
      <c r="J45" s="273"/>
      <c r="K45" s="273"/>
      <c r="L45" s="273"/>
      <c r="M45" s="273"/>
      <c r="N45" s="274"/>
    </row>
    <row r="46" spans="2:22" x14ac:dyDescent="0.25">
      <c r="B46" s="312"/>
      <c r="C46" s="313"/>
      <c r="D46" s="313"/>
      <c r="E46" s="313"/>
      <c r="F46" s="313"/>
      <c r="G46" s="313"/>
      <c r="H46" s="273"/>
      <c r="I46" s="273"/>
      <c r="J46" s="273"/>
      <c r="K46" s="273"/>
      <c r="L46" s="273"/>
      <c r="M46" s="273"/>
      <c r="N46" s="274"/>
    </row>
    <row r="47" spans="2:22" x14ac:dyDescent="0.25">
      <c r="B47" s="314"/>
      <c r="C47" s="315"/>
      <c r="D47" s="315"/>
      <c r="E47" s="315"/>
      <c r="F47" s="315"/>
      <c r="G47" s="315"/>
      <c r="H47" s="273"/>
      <c r="I47" s="273"/>
      <c r="J47" s="273"/>
      <c r="K47" s="273"/>
      <c r="L47" s="273"/>
      <c r="M47" s="273"/>
      <c r="N47" s="274"/>
    </row>
    <row r="48" spans="2:22" x14ac:dyDescent="0.25">
      <c r="B48" s="316" t="s">
        <v>198</v>
      </c>
      <c r="C48" s="273"/>
      <c r="D48" s="273"/>
      <c r="E48" s="273"/>
      <c r="F48" s="273"/>
      <c r="G48" s="273"/>
      <c r="H48" s="317">
        <f>C19+D19+E19</f>
        <v>8239000</v>
      </c>
      <c r="I48" s="273"/>
      <c r="J48" s="273"/>
      <c r="K48" s="273"/>
      <c r="L48" s="273"/>
      <c r="M48" s="273"/>
      <c r="N48" s="274"/>
    </row>
    <row r="49" spans="2:21" x14ac:dyDescent="0.25">
      <c r="B49" s="316" t="s">
        <v>199</v>
      </c>
      <c r="C49" s="273"/>
      <c r="D49" s="273"/>
      <c r="E49" s="273"/>
      <c r="F49" s="273"/>
      <c r="G49" s="273"/>
      <c r="H49" s="317">
        <f>C20+D20+E20</f>
        <v>20068000</v>
      </c>
      <c r="I49" s="273"/>
      <c r="J49" s="273"/>
      <c r="K49" s="273"/>
      <c r="L49" s="273"/>
      <c r="M49" s="273"/>
      <c r="N49" s="274"/>
      <c r="U49">
        <f>R39/Q39*110</f>
        <v>13538130.434782607</v>
      </c>
    </row>
    <row r="50" spans="2:21" x14ac:dyDescent="0.25">
      <c r="B50" s="316" t="s">
        <v>213</v>
      </c>
      <c r="C50" s="273"/>
      <c r="D50" s="273"/>
      <c r="E50" s="273"/>
      <c r="F50" s="273"/>
      <c r="G50" s="273"/>
      <c r="H50" s="317">
        <f>F22</f>
        <v>9650000</v>
      </c>
      <c r="I50" s="273"/>
      <c r="J50" s="273"/>
      <c r="K50" s="273"/>
      <c r="L50" s="273"/>
      <c r="M50" s="273"/>
      <c r="N50" s="274"/>
      <c r="U50">
        <f>R40/12</f>
        <v>804166.66666666663</v>
      </c>
    </row>
    <row r="51" spans="2:21" x14ac:dyDescent="0.25">
      <c r="B51" s="316" t="s">
        <v>214</v>
      </c>
      <c r="C51" s="273"/>
      <c r="D51" s="273"/>
      <c r="E51" s="273"/>
      <c r="F51" s="273"/>
      <c r="G51" s="273"/>
      <c r="H51" s="306">
        <f>F26</f>
        <v>8525000</v>
      </c>
      <c r="I51" s="273"/>
      <c r="J51" s="273"/>
      <c r="K51" s="273"/>
      <c r="L51" s="273"/>
      <c r="M51" s="273"/>
      <c r="N51" s="274"/>
      <c r="U51">
        <f>R41/48*13</f>
        <v>2306958.3333333335</v>
      </c>
    </row>
    <row r="52" spans="2:21" x14ac:dyDescent="0.25">
      <c r="B52" s="332" t="s">
        <v>219</v>
      </c>
      <c r="C52" s="273"/>
      <c r="D52" s="273"/>
      <c r="E52" s="273"/>
      <c r="F52" s="273"/>
      <c r="G52" s="273"/>
      <c r="H52" s="317">
        <f>F25</f>
        <v>8518000</v>
      </c>
      <c r="I52" s="273"/>
      <c r="J52" s="273"/>
      <c r="K52" s="273"/>
      <c r="L52" s="273"/>
      <c r="M52" s="273"/>
      <c r="N52" s="274"/>
      <c r="U52">
        <f>R42/290*124</f>
        <v>3645172.4137931033</v>
      </c>
    </row>
    <row r="53" spans="2:21" x14ac:dyDescent="0.25"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4"/>
      <c r="U53">
        <f>SUM(U49:U52)</f>
        <v>20294427.848575711</v>
      </c>
    </row>
    <row r="54" spans="2:21" x14ac:dyDescent="0.25">
      <c r="B54" s="272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4"/>
    </row>
    <row r="55" spans="2:21" x14ac:dyDescent="0.25">
      <c r="B55" s="272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4"/>
    </row>
    <row r="56" spans="2:21" x14ac:dyDescent="0.25">
      <c r="B56" s="272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4"/>
    </row>
    <row r="57" spans="2:21" ht="15.75" thickBot="1" x14ac:dyDescent="0.3">
      <c r="B57" s="314" t="s">
        <v>215</v>
      </c>
      <c r="C57" s="315"/>
      <c r="D57" s="315"/>
      <c r="E57" s="315"/>
      <c r="F57" s="315"/>
      <c r="G57" s="315"/>
      <c r="H57" s="273"/>
      <c r="I57" s="273"/>
      <c r="J57" s="273"/>
      <c r="K57" s="273"/>
      <c r="L57" s="273"/>
      <c r="M57" s="273"/>
      <c r="N57" s="274"/>
    </row>
    <row r="58" spans="2:21" ht="15.75" thickBot="1" x14ac:dyDescent="0.3">
      <c r="B58" s="272"/>
      <c r="C58" s="273"/>
      <c r="D58" s="273"/>
      <c r="E58" s="273"/>
      <c r="F58" s="273"/>
      <c r="G58" s="273"/>
      <c r="H58" s="273"/>
      <c r="I58" s="273"/>
      <c r="J58" s="273"/>
      <c r="K58" s="273"/>
      <c r="L58" s="318">
        <v>600</v>
      </c>
      <c r="M58" s="318">
        <v>601</v>
      </c>
      <c r="N58" s="318">
        <v>602</v>
      </c>
    </row>
    <row r="59" spans="2:21" x14ac:dyDescent="0.25">
      <c r="B59" s="319" t="s">
        <v>216</v>
      </c>
      <c r="C59" s="297"/>
      <c r="D59" s="297"/>
      <c r="E59" s="297"/>
      <c r="F59" s="297"/>
      <c r="G59" s="297"/>
      <c r="H59" s="273"/>
      <c r="I59" s="273"/>
      <c r="J59" s="273"/>
      <c r="K59" s="273"/>
      <c r="L59" s="273">
        <v>15.9</v>
      </c>
      <c r="M59" s="273">
        <v>15.9</v>
      </c>
      <c r="N59" s="274">
        <v>13.7</v>
      </c>
    </row>
    <row r="60" spans="2:21" x14ac:dyDescent="0.25">
      <c r="B60" s="319" t="s">
        <v>217</v>
      </c>
      <c r="C60" s="297"/>
      <c r="D60" s="297"/>
      <c r="E60" s="297"/>
      <c r="F60" s="297"/>
      <c r="G60" s="297"/>
      <c r="H60" s="273"/>
      <c r="I60" s="273"/>
      <c r="J60" s="273"/>
      <c r="K60" s="273"/>
      <c r="L60" s="273">
        <v>23.9</v>
      </c>
      <c r="M60" s="273">
        <v>23.9</v>
      </c>
      <c r="N60" s="273">
        <v>54</v>
      </c>
    </row>
    <row r="61" spans="2:21" x14ac:dyDescent="0.25">
      <c r="B61" s="272" t="s">
        <v>218</v>
      </c>
      <c r="C61" s="273"/>
      <c r="D61" s="273"/>
      <c r="E61" s="273"/>
      <c r="F61" s="273"/>
      <c r="G61" s="273"/>
      <c r="H61" s="273"/>
      <c r="I61" s="273"/>
      <c r="J61" s="273"/>
      <c r="K61" s="273"/>
      <c r="L61" s="320">
        <v>16.5</v>
      </c>
      <c r="M61" s="320">
        <v>16.5</v>
      </c>
      <c r="N61" s="320">
        <v>19</v>
      </c>
    </row>
    <row r="62" spans="2:21" x14ac:dyDescent="0.25">
      <c r="B62" s="272" t="s">
        <v>219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>
        <v>19</v>
      </c>
      <c r="M62" s="273">
        <v>19</v>
      </c>
      <c r="N62" s="273">
        <v>10.6</v>
      </c>
    </row>
    <row r="63" spans="2:21" x14ac:dyDescent="0.25">
      <c r="B63" s="272"/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</row>
    <row r="64" spans="2:21" x14ac:dyDescent="0.25">
      <c r="B64" s="272" t="s">
        <v>220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>
        <v>24.7</v>
      </c>
      <c r="M64" s="273">
        <v>24.7</v>
      </c>
      <c r="N64" s="273">
        <v>2.7</v>
      </c>
    </row>
    <row r="65" spans="2:19" x14ac:dyDescent="0.25">
      <c r="B65" s="272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4"/>
    </row>
    <row r="66" spans="2:19" ht="15.75" thickBot="1" x14ac:dyDescent="0.3">
      <c r="B66" s="275"/>
      <c r="C66" s="276"/>
      <c r="D66" s="276"/>
      <c r="E66" s="276"/>
      <c r="F66" s="276"/>
      <c r="G66" s="276"/>
      <c r="H66" s="276"/>
      <c r="I66" s="276"/>
      <c r="J66" s="276"/>
      <c r="K66" s="276"/>
      <c r="L66" s="276">
        <f>SUM(L59:L64)</f>
        <v>100</v>
      </c>
      <c r="M66" s="276">
        <f>SUM(M59:M64)</f>
        <v>100</v>
      </c>
      <c r="N66" s="277">
        <f>SUM(N59:N64)</f>
        <v>100</v>
      </c>
    </row>
    <row r="68" spans="2:19" x14ac:dyDescent="0.25">
      <c r="S68">
        <v>24485000</v>
      </c>
    </row>
    <row r="69" spans="2:19" x14ac:dyDescent="0.25">
      <c r="S69">
        <f>29500000-S68</f>
        <v>5015000</v>
      </c>
    </row>
    <row r="76" spans="2:19" x14ac:dyDescent="0.25">
      <c r="L76" s="321" t="s">
        <v>193</v>
      </c>
      <c r="M76" s="322"/>
      <c r="N76" s="322"/>
      <c r="O76" s="323">
        <v>1659480.3333333333</v>
      </c>
    </row>
    <row r="77" spans="2:19" x14ac:dyDescent="0.25">
      <c r="L77" s="324"/>
      <c r="M77" s="273"/>
      <c r="N77" s="273"/>
      <c r="O77" s="325"/>
    </row>
    <row r="78" spans="2:19" x14ac:dyDescent="0.25">
      <c r="L78" s="326" t="s">
        <v>221</v>
      </c>
      <c r="M78" s="327"/>
      <c r="N78" s="327"/>
      <c r="O78" s="328">
        <v>0.39814968766252373</v>
      </c>
      <c r="Q78">
        <f>O78*0.6</f>
        <v>0.23888981259751424</v>
      </c>
      <c r="S78">
        <f>O78-Q78</f>
        <v>0.15925987506500949</v>
      </c>
    </row>
    <row r="81" spans="12:19" x14ac:dyDescent="0.25">
      <c r="L81" s="321" t="s">
        <v>222</v>
      </c>
      <c r="M81" s="322"/>
      <c r="N81" s="322"/>
      <c r="O81" s="323">
        <v>1714465.3333333333</v>
      </c>
    </row>
    <row r="82" spans="12:19" x14ac:dyDescent="0.25">
      <c r="L82" s="324"/>
      <c r="M82" s="273"/>
      <c r="N82" s="273"/>
      <c r="O82" s="325"/>
    </row>
    <row r="83" spans="12:19" x14ac:dyDescent="0.25">
      <c r="L83" s="326" t="s">
        <v>223</v>
      </c>
      <c r="M83" s="327"/>
      <c r="N83" s="327"/>
      <c r="O83" s="328">
        <v>0.41134192630276706</v>
      </c>
      <c r="Q83">
        <f>O83*0.4</f>
        <v>0.16453677052110682</v>
      </c>
      <c r="S83">
        <f>O83-Q83</f>
        <v>0.24680515578166023</v>
      </c>
    </row>
    <row r="86" spans="12:19" x14ac:dyDescent="0.25">
      <c r="L86" s="321" t="s">
        <v>224</v>
      </c>
      <c r="M86" s="322"/>
      <c r="N86" s="322"/>
      <c r="O86" s="323">
        <v>794035.33333333337</v>
      </c>
    </row>
    <row r="87" spans="12:19" x14ac:dyDescent="0.25">
      <c r="L87" s="324"/>
      <c r="M87" s="273"/>
      <c r="N87" s="273"/>
      <c r="O87" s="325"/>
    </row>
    <row r="88" spans="12:19" x14ac:dyDescent="0.25">
      <c r="L88" s="326"/>
      <c r="M88" s="327"/>
      <c r="N88" s="327"/>
      <c r="O88" s="328">
        <v>0.19050838603470921</v>
      </c>
    </row>
  </sheetData>
  <mergeCells count="3">
    <mergeCell ref="C2:F2"/>
    <mergeCell ref="H2:K2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Aneksi 1</vt:lpstr>
      <vt:lpstr>Aneksi 2</vt:lpstr>
      <vt:lpstr>Aneksi 3</vt:lpstr>
      <vt:lpstr>Aneksi 4</vt:lpstr>
      <vt:lpstr>Aneksi 5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2017-05-24T11:11:24Z</dcterms:modified>
</cp:coreProperties>
</file>